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eus Documentos\Contabilidade\StaCasa\"/>
    </mc:Choice>
  </mc:AlternateContent>
  <bookViews>
    <workbookView xWindow="0" yWindow="0" windowWidth="21600" windowHeight="9735" firstSheet="22" activeTab="28"/>
  </bookViews>
  <sheets>
    <sheet name="Planilha Despesas" sheetId="5" state="hidden" r:id="rId1"/>
    <sheet name="Planilha (3)" sheetId="16" state="hidden" r:id="rId2"/>
    <sheet name="Planilha Despesas (2)" sheetId="11" state="hidden" r:id="rId3"/>
    <sheet name="Planilha (4)" sheetId="19" state="hidden" r:id="rId4"/>
    <sheet name="Planilha (2)" sheetId="23" state="hidden" r:id="rId5"/>
    <sheet name="Planilha Abr,Mai,Jun " sheetId="21" state="hidden" r:id="rId6"/>
    <sheet name="Planilha" sheetId="14" state="hidden" r:id="rId7"/>
    <sheet name="Planilha Despesas (3)" sheetId="13" state="hidden" r:id="rId8"/>
    <sheet name="GPS,DARF, FGTS " sheetId="8" state="hidden" r:id="rId9"/>
    <sheet name="Pac. GPS " sheetId="10" state="hidden" r:id="rId10"/>
    <sheet name="Desp (2)" sheetId="12" state="hidden" r:id="rId11"/>
    <sheet name="Despesas  Fixas" sheetId="17" state="hidden" r:id="rId12"/>
    <sheet name="Parc. Caixa E Federal" sheetId="9" state="hidden" r:id="rId13"/>
    <sheet name="Pac. GPS" sheetId="1" state="hidden" r:id="rId14"/>
    <sheet name="PMI -2015" sheetId="4" state="hidden" r:id="rId15"/>
    <sheet name="PMI -2015 Plano de Trabalho" sheetId="22" state="hidden" r:id="rId16"/>
    <sheet name="PMI -2015 Plano de Trabalho (2)" sheetId="25" state="hidden" r:id="rId17"/>
    <sheet name="PMI -2015 - Atual " sheetId="27" state="hidden" r:id="rId18"/>
    <sheet name="SIM - SAUDE" sheetId="6" state="hidden" r:id="rId19"/>
    <sheet name="Cassems" sheetId="2" state="hidden" r:id="rId20"/>
    <sheet name="Cozinha" sheetId="24" state="hidden" r:id="rId21"/>
    <sheet name="Plan3" sheetId="3" state="hidden" r:id="rId22"/>
    <sheet name="2019" sheetId="64" r:id="rId23"/>
    <sheet name="2020 " sheetId="70" r:id="rId24"/>
    <sheet name="2021" sheetId="65" r:id="rId25"/>
    <sheet name="Folha1" sheetId="69" r:id="rId26"/>
    <sheet name="Folha - 19" sheetId="68" r:id="rId27"/>
    <sheet name="Folha - 20 " sheetId="71" r:id="rId28"/>
    <sheet name="Folha - 21" sheetId="67" r:id="rId29"/>
  </sheets>
  <definedNames>
    <definedName name="_xlnm.Print_Area" localSheetId="22">'2019'!$A$1:$AB$127</definedName>
    <definedName name="_xlnm.Print_Area" localSheetId="26">'Folha - 19'!$A$1:$AC$59</definedName>
    <definedName name="_xlnm.Print_Area" localSheetId="27">'Folha - 20 '!$A$1:$AC$60</definedName>
    <definedName name="_xlnm.Print_Area" localSheetId="28">'Folha - 21'!$A$1:$AC$60</definedName>
  </definedNames>
  <calcPr calcId="152511"/>
</workbook>
</file>

<file path=xl/calcChain.xml><?xml version="1.0" encoding="utf-8"?>
<calcChain xmlns="http://schemas.openxmlformats.org/spreadsheetml/2006/main">
  <c r="U8" i="67" l="1"/>
  <c r="H10" i="65" l="1"/>
  <c r="Y30" i="71" l="1"/>
  <c r="W30" i="71"/>
  <c r="U30" i="71"/>
  <c r="S30" i="71"/>
  <c r="Q30" i="71"/>
  <c r="O30" i="71"/>
  <c r="M30" i="71"/>
  <c r="K30" i="71"/>
  <c r="I30" i="71"/>
  <c r="G30" i="71"/>
  <c r="G32" i="71" s="1"/>
  <c r="E30" i="71"/>
  <c r="C30" i="71"/>
  <c r="Y27" i="71"/>
  <c r="Y31" i="71" s="1"/>
  <c r="W27" i="71"/>
  <c r="W31" i="71" s="1"/>
  <c r="U27" i="71"/>
  <c r="U31" i="71" s="1"/>
  <c r="U32" i="71" s="1"/>
  <c r="S27" i="71"/>
  <c r="S31" i="71" s="1"/>
  <c r="Q27" i="71"/>
  <c r="Q31" i="71" s="1"/>
  <c r="O27" i="71"/>
  <c r="O31" i="71" s="1"/>
  <c r="M27" i="71"/>
  <c r="M31" i="71" s="1"/>
  <c r="K27" i="71"/>
  <c r="K31" i="71" s="1"/>
  <c r="I27" i="71"/>
  <c r="I31" i="71" s="1"/>
  <c r="G27" i="71"/>
  <c r="G31" i="71" s="1"/>
  <c r="E27" i="71"/>
  <c r="E31" i="71" s="1"/>
  <c r="C27" i="71"/>
  <c r="C31" i="71" s="1"/>
  <c r="AA26" i="71"/>
  <c r="AB26" i="71" s="1"/>
  <c r="AA25" i="71"/>
  <c r="AB25" i="71" s="1"/>
  <c r="AA24" i="71"/>
  <c r="AB24" i="71" s="1"/>
  <c r="AA23" i="71"/>
  <c r="AB23" i="71" s="1"/>
  <c r="AA22" i="71"/>
  <c r="AB22" i="71" s="1"/>
  <c r="AA21" i="71"/>
  <c r="AB21" i="71" s="1"/>
  <c r="AA20" i="71"/>
  <c r="AB20" i="71" s="1"/>
  <c r="AA19" i="71"/>
  <c r="AB19" i="71" s="1"/>
  <c r="AA18" i="71"/>
  <c r="AB18" i="71" s="1"/>
  <c r="AA17" i="71"/>
  <c r="AB17" i="71" s="1"/>
  <c r="AA16" i="71"/>
  <c r="AB16" i="71" s="1"/>
  <c r="AA15" i="71"/>
  <c r="AB15" i="71" s="1"/>
  <c r="AA14" i="71"/>
  <c r="AA27" i="71" s="1"/>
  <c r="AA31" i="71" s="1"/>
  <c r="Y8" i="71"/>
  <c r="W8" i="71"/>
  <c r="U8" i="71"/>
  <c r="S8" i="71"/>
  <c r="Q8" i="71"/>
  <c r="O8" i="71"/>
  <c r="M8" i="71"/>
  <c r="K8" i="71"/>
  <c r="I8" i="71"/>
  <c r="G8" i="71"/>
  <c r="E8" i="71"/>
  <c r="C8" i="71"/>
  <c r="AA8" i="71" s="1"/>
  <c r="AB8" i="71" s="1"/>
  <c r="AA7" i="71"/>
  <c r="AB7" i="71" s="1"/>
  <c r="K45" i="70"/>
  <c r="G45" i="70"/>
  <c r="C45" i="70"/>
  <c r="N42" i="70"/>
  <c r="N46" i="70" s="1"/>
  <c r="M42" i="70"/>
  <c r="M46" i="70" s="1"/>
  <c r="L42" i="70"/>
  <c r="L46" i="70" s="1"/>
  <c r="K42" i="70"/>
  <c r="K46" i="70" s="1"/>
  <c r="J42" i="70"/>
  <c r="J46" i="70" s="1"/>
  <c r="I42" i="70"/>
  <c r="I46" i="70" s="1"/>
  <c r="H42" i="70"/>
  <c r="H46" i="70" s="1"/>
  <c r="G42" i="70"/>
  <c r="G46" i="70" s="1"/>
  <c r="F42" i="70"/>
  <c r="F46" i="70" s="1"/>
  <c r="E42" i="70"/>
  <c r="E46" i="70" s="1"/>
  <c r="D42" i="70"/>
  <c r="D46" i="70" s="1"/>
  <c r="C42" i="70"/>
  <c r="C46" i="70" s="1"/>
  <c r="N10" i="70"/>
  <c r="N45" i="70" s="1"/>
  <c r="N47" i="70" s="1"/>
  <c r="M10" i="70"/>
  <c r="M45" i="70" s="1"/>
  <c r="M47" i="70" s="1"/>
  <c r="L10" i="70"/>
  <c r="L45" i="70" s="1"/>
  <c r="L47" i="70" s="1"/>
  <c r="K10" i="70"/>
  <c r="J10" i="70"/>
  <c r="J45" i="70" s="1"/>
  <c r="J47" i="70" s="1"/>
  <c r="I10" i="70"/>
  <c r="I45" i="70" s="1"/>
  <c r="I47" i="70" s="1"/>
  <c r="H10" i="70"/>
  <c r="H45" i="70" s="1"/>
  <c r="H47" i="70" s="1"/>
  <c r="G10" i="70"/>
  <c r="F10" i="70"/>
  <c r="F45" i="70" s="1"/>
  <c r="F47" i="70" s="1"/>
  <c r="E10" i="70"/>
  <c r="E45" i="70" s="1"/>
  <c r="E47" i="70" s="1"/>
  <c r="D10" i="70"/>
  <c r="D45" i="70" s="1"/>
  <c r="D47" i="70" s="1"/>
  <c r="C10" i="70"/>
  <c r="P9" i="70"/>
  <c r="O9" i="70"/>
  <c r="P8" i="70"/>
  <c r="O8" i="70" s="1"/>
  <c r="P7" i="70"/>
  <c r="P10" i="70" s="1"/>
  <c r="O7" i="70"/>
  <c r="O10" i="70" s="1"/>
  <c r="M32" i="71" l="1"/>
  <c r="O32" i="71"/>
  <c r="W32" i="71"/>
  <c r="C32" i="71"/>
  <c r="K32" i="71"/>
  <c r="S32" i="71"/>
  <c r="E32" i="71"/>
  <c r="I32" i="71"/>
  <c r="Q32" i="71"/>
  <c r="Y32" i="71"/>
  <c r="AA30" i="71"/>
  <c r="AB14" i="71"/>
  <c r="AB27" i="71" s="1"/>
  <c r="AB31" i="71" s="1"/>
  <c r="C47" i="70"/>
  <c r="G47" i="70"/>
  <c r="K47" i="70"/>
  <c r="N42" i="65"/>
  <c r="N46" i="65" s="1"/>
  <c r="M42" i="65"/>
  <c r="M46" i="65" s="1"/>
  <c r="L42" i="65"/>
  <c r="L46" i="65" s="1"/>
  <c r="K42" i="65"/>
  <c r="K46" i="65" s="1"/>
  <c r="J42" i="65"/>
  <c r="J46" i="65" s="1"/>
  <c r="I42" i="65"/>
  <c r="I46" i="65" s="1"/>
  <c r="H42" i="65"/>
  <c r="H46" i="65" s="1"/>
  <c r="G42" i="65"/>
  <c r="G46" i="65" s="1"/>
  <c r="F42" i="65"/>
  <c r="F46" i="65" s="1"/>
  <c r="E42" i="65"/>
  <c r="E46" i="65" s="1"/>
  <c r="D42" i="65"/>
  <c r="D46" i="65" s="1"/>
  <c r="C42" i="65"/>
  <c r="C46" i="65" s="1"/>
  <c r="Y48" i="64"/>
  <c r="W48" i="64"/>
  <c r="U48" i="64"/>
  <c r="S48" i="64"/>
  <c r="Q48" i="64"/>
  <c r="O48" i="64"/>
  <c r="M48" i="64"/>
  <c r="K48" i="64"/>
  <c r="I48" i="64"/>
  <c r="G48" i="64"/>
  <c r="E48" i="64"/>
  <c r="C48" i="64"/>
  <c r="Y47" i="64"/>
  <c r="W47" i="64"/>
  <c r="U47" i="64"/>
  <c r="S47" i="64"/>
  <c r="Q47" i="64"/>
  <c r="O47" i="64"/>
  <c r="M47" i="64"/>
  <c r="K47" i="64"/>
  <c r="I47" i="64"/>
  <c r="G47" i="64"/>
  <c r="E47" i="64"/>
  <c r="C47" i="64"/>
  <c r="Y46" i="64"/>
  <c r="W46" i="64"/>
  <c r="U46" i="64"/>
  <c r="S46" i="64"/>
  <c r="Q46" i="64"/>
  <c r="O46" i="64"/>
  <c r="M46" i="64"/>
  <c r="K46" i="64"/>
  <c r="I46" i="64"/>
  <c r="G46" i="64"/>
  <c r="E46" i="64"/>
  <c r="C46" i="64"/>
  <c r="P9" i="65"/>
  <c r="O9" i="65" s="1"/>
  <c r="P8" i="65"/>
  <c r="O8" i="65" s="1"/>
  <c r="P7" i="65"/>
  <c r="O7" i="65" s="1"/>
  <c r="AB30" i="71" l="1"/>
  <c r="AB32" i="71" s="1"/>
  <c r="AA32" i="71"/>
  <c r="O10" i="65"/>
  <c r="Y43" i="64"/>
  <c r="X43" i="64"/>
  <c r="W43" i="64"/>
  <c r="V43" i="64"/>
  <c r="U43" i="64"/>
  <c r="T43" i="64"/>
  <c r="S43" i="64"/>
  <c r="R43" i="64"/>
  <c r="Q43" i="64"/>
  <c r="P43" i="64"/>
  <c r="O43" i="64"/>
  <c r="N43" i="64"/>
  <c r="M43" i="64"/>
  <c r="L43" i="64"/>
  <c r="K43" i="64"/>
  <c r="J43" i="64"/>
  <c r="I43" i="64"/>
  <c r="H43" i="64"/>
  <c r="G43" i="64"/>
  <c r="F43" i="64"/>
  <c r="E43" i="64"/>
  <c r="C43" i="64"/>
  <c r="P10" i="65" l="1"/>
  <c r="AA9" i="64" l="1"/>
  <c r="AB9" i="64" s="1"/>
  <c r="Y10" i="64"/>
  <c r="W10" i="64"/>
  <c r="U10" i="64"/>
  <c r="S10" i="64"/>
  <c r="Q10" i="64"/>
  <c r="O10" i="64"/>
  <c r="M10" i="64"/>
  <c r="K10" i="64"/>
  <c r="I10" i="64"/>
  <c r="G10" i="64"/>
  <c r="E10" i="64"/>
  <c r="C10" i="64"/>
  <c r="AA8" i="64"/>
  <c r="AB8" i="64" s="1"/>
  <c r="N10" i="65"/>
  <c r="N45" i="65" s="1"/>
  <c r="N47" i="65" s="1"/>
  <c r="M10" i="65"/>
  <c r="M45" i="65" s="1"/>
  <c r="M47" i="65" s="1"/>
  <c r="L10" i="65"/>
  <c r="L45" i="65" s="1"/>
  <c r="L47" i="65" s="1"/>
  <c r="K10" i="65"/>
  <c r="K45" i="65" s="1"/>
  <c r="K47" i="65" s="1"/>
  <c r="J10" i="65"/>
  <c r="J45" i="65" s="1"/>
  <c r="J47" i="65" s="1"/>
  <c r="I10" i="65"/>
  <c r="I45" i="65" s="1"/>
  <c r="I47" i="65" s="1"/>
  <c r="H45" i="65"/>
  <c r="H47" i="65" s="1"/>
  <c r="G10" i="65"/>
  <c r="G45" i="65" s="1"/>
  <c r="G47" i="65" s="1"/>
  <c r="F10" i="65"/>
  <c r="F45" i="65" s="1"/>
  <c r="F47" i="65" s="1"/>
  <c r="E10" i="65"/>
  <c r="E45" i="65" s="1"/>
  <c r="E47" i="65" s="1"/>
  <c r="D10" i="65"/>
  <c r="D45" i="65" s="1"/>
  <c r="D47" i="65" s="1"/>
  <c r="C10" i="65"/>
  <c r="C45" i="65" s="1"/>
  <c r="C47" i="65" s="1"/>
  <c r="S30" i="68"/>
  <c r="M30" i="68"/>
  <c r="C30" i="68"/>
  <c r="Y8" i="68"/>
  <c r="W30" i="68"/>
  <c r="Q30" i="68"/>
  <c r="O30" i="68"/>
  <c r="I8" i="68"/>
  <c r="G30" i="68"/>
  <c r="Y27" i="68"/>
  <c r="Y31" i="68" s="1"/>
  <c r="W27" i="68"/>
  <c r="W31" i="68" s="1"/>
  <c r="U27" i="68"/>
  <c r="U31" i="68" s="1"/>
  <c r="Q27" i="68"/>
  <c r="Q31" i="68" s="1"/>
  <c r="O27" i="68"/>
  <c r="O31" i="68" s="1"/>
  <c r="M27" i="68"/>
  <c r="M31" i="68" s="1"/>
  <c r="I27" i="68"/>
  <c r="I31" i="68" s="1"/>
  <c r="G27" i="68"/>
  <c r="G31" i="68" s="1"/>
  <c r="E27" i="68"/>
  <c r="E31" i="68" s="1"/>
  <c r="AA14" i="68"/>
  <c r="AB14" i="68" s="1"/>
  <c r="Y30" i="68"/>
  <c r="K30" i="68"/>
  <c r="AA26" i="68"/>
  <c r="AB26" i="68" s="1"/>
  <c r="AB25" i="68"/>
  <c r="AA25" i="68"/>
  <c r="AA24" i="68"/>
  <c r="AB24" i="68" s="1"/>
  <c r="AB23" i="68"/>
  <c r="AA23" i="68"/>
  <c r="AA22" i="68"/>
  <c r="AB22" i="68" s="1"/>
  <c r="AB21" i="68"/>
  <c r="AA21" i="68"/>
  <c r="AA20" i="68"/>
  <c r="AB20" i="68" s="1"/>
  <c r="AB19" i="68"/>
  <c r="AA19" i="68"/>
  <c r="AA18" i="68"/>
  <c r="AB18" i="68" s="1"/>
  <c r="AB17" i="68"/>
  <c r="AA17" i="68"/>
  <c r="AA16" i="68"/>
  <c r="AB16" i="68" s="1"/>
  <c r="AA15" i="68"/>
  <c r="AB15" i="68" s="1"/>
  <c r="S27" i="68"/>
  <c r="S31" i="68" s="1"/>
  <c r="K27" i="68"/>
  <c r="K31" i="68" s="1"/>
  <c r="C27" i="68"/>
  <c r="C31" i="68" s="1"/>
  <c r="S8" i="68"/>
  <c r="Q8" i="68"/>
  <c r="K8" i="68"/>
  <c r="U30" i="68"/>
  <c r="E30" i="68"/>
  <c r="M30" i="67"/>
  <c r="Y8" i="67"/>
  <c r="W8" i="67"/>
  <c r="U30" i="67"/>
  <c r="S30" i="67"/>
  <c r="K8" i="67"/>
  <c r="G8" i="67"/>
  <c r="C8" i="67"/>
  <c r="O8" i="67"/>
  <c r="AA26" i="67"/>
  <c r="AB26" i="67" s="1"/>
  <c r="AA25" i="67"/>
  <c r="AB25" i="67" s="1"/>
  <c r="AA24" i="67"/>
  <c r="AB24" i="67" s="1"/>
  <c r="AA23" i="67"/>
  <c r="AB23" i="67" s="1"/>
  <c r="AA22" i="67"/>
  <c r="AB22" i="67" s="1"/>
  <c r="AA21" i="67"/>
  <c r="AB21" i="67" s="1"/>
  <c r="AA18" i="67"/>
  <c r="AB18" i="67" s="1"/>
  <c r="AA17" i="67"/>
  <c r="AB17" i="67" s="1"/>
  <c r="AA16" i="67"/>
  <c r="AB16" i="67" s="1"/>
  <c r="U27" i="67"/>
  <c r="U31" i="67" s="1"/>
  <c r="S27" i="67"/>
  <c r="S31" i="67" s="1"/>
  <c r="K27" i="67"/>
  <c r="K31" i="67" s="1"/>
  <c r="I27" i="67"/>
  <c r="I31" i="67" s="1"/>
  <c r="E27" i="67"/>
  <c r="E31" i="67" s="1"/>
  <c r="G27" i="67"/>
  <c r="G31" i="67" s="1"/>
  <c r="S8" i="67"/>
  <c r="E8" i="67"/>
  <c r="Q8" i="67"/>
  <c r="K30" i="67"/>
  <c r="I8" i="67"/>
  <c r="E30" i="67"/>
  <c r="C30" i="67"/>
  <c r="AA7" i="68" l="1"/>
  <c r="AB7" i="68" s="1"/>
  <c r="I30" i="68"/>
  <c r="C8" i="68"/>
  <c r="G32" i="68"/>
  <c r="O32" i="68"/>
  <c r="W32" i="68"/>
  <c r="E32" i="68"/>
  <c r="M32" i="68"/>
  <c r="U32" i="68"/>
  <c r="K32" i="68"/>
  <c r="Q32" i="68"/>
  <c r="C32" i="68"/>
  <c r="S32" i="68"/>
  <c r="I32" i="68"/>
  <c r="Y32" i="68"/>
  <c r="AA30" i="68"/>
  <c r="G8" i="68"/>
  <c r="O8" i="68"/>
  <c r="W8" i="68"/>
  <c r="E8" i="68"/>
  <c r="M8" i="68"/>
  <c r="U8" i="68"/>
  <c r="K32" i="67"/>
  <c r="Y27" i="67"/>
  <c r="Y31" i="67" s="1"/>
  <c r="AA15" i="67"/>
  <c r="AB15" i="67" s="1"/>
  <c r="M27" i="67"/>
  <c r="M31" i="67" s="1"/>
  <c r="M32" i="67" s="1"/>
  <c r="AA19" i="67"/>
  <c r="AB19" i="67" s="1"/>
  <c r="S32" i="67"/>
  <c r="M8" i="67"/>
  <c r="AA8" i="67" s="1"/>
  <c r="AB8" i="67" s="1"/>
  <c r="G30" i="67"/>
  <c r="G32" i="67" s="1"/>
  <c r="E32" i="67"/>
  <c r="U32" i="67"/>
  <c r="O27" i="67"/>
  <c r="O31" i="67" s="1"/>
  <c r="W27" i="67"/>
  <c r="W31" i="67" s="1"/>
  <c r="AA20" i="67"/>
  <c r="AB20" i="67" s="1"/>
  <c r="C27" i="67"/>
  <c r="C31" i="67" s="1"/>
  <c r="C32" i="67" s="1"/>
  <c r="Q27" i="67"/>
  <c r="Q31" i="67" s="1"/>
  <c r="O30" i="67"/>
  <c r="AA14" i="67"/>
  <c r="AB14" i="67" s="1"/>
  <c r="W30" i="67"/>
  <c r="I30" i="67"/>
  <c r="I32" i="67" s="1"/>
  <c r="Q30" i="67"/>
  <c r="Y30" i="67"/>
  <c r="AA7" i="67"/>
  <c r="AB7" i="67" s="1"/>
  <c r="AA7" i="64"/>
  <c r="AA10" i="64" s="1"/>
  <c r="AA8" i="68" l="1"/>
  <c r="AB8" i="68" s="1"/>
  <c r="AA27" i="68"/>
  <c r="AA31" i="68" s="1"/>
  <c r="AA32" i="68" s="1"/>
  <c r="AB27" i="68"/>
  <c r="AB31" i="68" s="1"/>
  <c r="AB30" i="68"/>
  <c r="O32" i="67"/>
  <c r="AB27" i="67"/>
  <c r="AB31" i="67" s="1"/>
  <c r="W32" i="67"/>
  <c r="Y32" i="67"/>
  <c r="AA27" i="67"/>
  <c r="AA31" i="67" s="1"/>
  <c r="Q32" i="67"/>
  <c r="AA30" i="67"/>
  <c r="AB7" i="64"/>
  <c r="AB10" i="64" s="1"/>
  <c r="AB32" i="68" l="1"/>
  <c r="AB30" i="67"/>
  <c r="AB32" i="67" s="1"/>
  <c r="AA32" i="67"/>
  <c r="N22" i="27" l="1"/>
  <c r="N21" i="27"/>
  <c r="L21" i="27"/>
  <c r="T21" i="27"/>
  <c r="L56" i="27"/>
  <c r="L54" i="27"/>
  <c r="L50" i="27"/>
  <c r="D50" i="27"/>
  <c r="L47" i="27"/>
  <c r="L45" i="27"/>
  <c r="L41" i="27"/>
  <c r="F41" i="27"/>
  <c r="D41" i="27"/>
  <c r="L38" i="27"/>
  <c r="L32" i="27"/>
  <c r="F32" i="27"/>
  <c r="D32" i="27"/>
  <c r="L74" i="27"/>
  <c r="L72" i="27"/>
  <c r="L68" i="27"/>
  <c r="J68" i="27"/>
  <c r="L65" i="27"/>
  <c r="L63" i="27"/>
  <c r="L59" i="27"/>
  <c r="J59" i="27"/>
  <c r="J41" i="27"/>
  <c r="L36" i="27"/>
  <c r="J32" i="27"/>
  <c r="J50" i="27"/>
  <c r="F50" i="27"/>
  <c r="L83" i="27"/>
  <c r="L77" i="27"/>
  <c r="J77" i="27"/>
  <c r="L55" i="27"/>
  <c r="L52" i="27"/>
  <c r="L51" i="27"/>
  <c r="L101" i="27"/>
  <c r="L100" i="27"/>
  <c r="L95" i="27"/>
  <c r="J95" i="27"/>
  <c r="L92" i="27"/>
  <c r="L91" i="27"/>
  <c r="L90" i="27"/>
  <c r="L88" i="27"/>
  <c r="L87" i="27"/>
  <c r="L86" i="27"/>
  <c r="J86" i="27"/>
  <c r="F86" i="27"/>
  <c r="D86" i="27"/>
  <c r="L80" i="27"/>
  <c r="L81" i="27"/>
  <c r="F77" i="27"/>
  <c r="L73" i="27"/>
  <c r="L70" i="27"/>
  <c r="L69" i="27"/>
  <c r="D68" i="27"/>
  <c r="L37" i="27"/>
  <c r="L34" i="27"/>
  <c r="L33" i="27"/>
  <c r="F95" i="27"/>
  <c r="D95" i="27"/>
  <c r="L82" i="27"/>
  <c r="L79" i="27"/>
  <c r="L78" i="27"/>
  <c r="D77" i="27"/>
  <c r="L64" i="27"/>
  <c r="L61" i="27"/>
  <c r="L60" i="27"/>
  <c r="L71" i="27"/>
  <c r="F68" i="27"/>
  <c r="H105" i="27"/>
  <c r="H30" i="27" s="1"/>
  <c r="H31" i="27" s="1"/>
  <c r="L53" i="27"/>
  <c r="L35" i="27"/>
  <c r="L62" i="27"/>
  <c r="T12" i="27"/>
  <c r="V13" i="27"/>
  <c r="X17" i="27"/>
  <c r="L19" i="27"/>
  <c r="H11" i="27"/>
  <c r="V11" i="27"/>
  <c r="T11" i="27"/>
  <c r="H12" i="27"/>
  <c r="L12" i="27"/>
  <c r="AB12" i="27" s="1"/>
  <c r="P12" i="27"/>
  <c r="P24" i="27" s="1"/>
  <c r="P9" i="27" s="1"/>
  <c r="P10" i="27" s="1"/>
  <c r="N12" i="27"/>
  <c r="N13" i="27"/>
  <c r="T13" i="27"/>
  <c r="L13" i="27"/>
  <c r="H14" i="27"/>
  <c r="AB14" i="27" s="1"/>
  <c r="H15" i="27"/>
  <c r="T15" i="27"/>
  <c r="L15" i="27"/>
  <c r="V15" i="27"/>
  <c r="H16" i="27"/>
  <c r="N16" i="27"/>
  <c r="T16" i="27"/>
  <c r="L16" i="27"/>
  <c r="H17" i="27"/>
  <c r="T17" i="27"/>
  <c r="L17" i="27"/>
  <c r="N17" i="27"/>
  <c r="H18" i="27"/>
  <c r="T18" i="27"/>
  <c r="L18" i="27"/>
  <c r="H19" i="27"/>
  <c r="T19" i="27"/>
  <c r="Z24" i="27"/>
  <c r="Z9" i="27" s="1"/>
  <c r="Z10" i="27" s="1"/>
  <c r="R24" i="27"/>
  <c r="R9" i="27" s="1"/>
  <c r="R10" i="27" s="1"/>
  <c r="J24" i="27"/>
  <c r="J9" i="27" s="1"/>
  <c r="J10" i="27" s="1"/>
  <c r="F24" i="27"/>
  <c r="D24" i="27"/>
  <c r="D9" i="27" s="1"/>
  <c r="D10" i="27" s="1"/>
  <c r="A24" i="27"/>
  <c r="AB22" i="27"/>
  <c r="T20" i="27"/>
  <c r="N20" i="27"/>
  <c r="L20" i="27"/>
  <c r="H20" i="27"/>
  <c r="F9" i="27"/>
  <c r="F10" i="27" s="1"/>
  <c r="AB8" i="27"/>
  <c r="N20" i="25"/>
  <c r="T20" i="25"/>
  <c r="H20" i="25"/>
  <c r="L20" i="25"/>
  <c r="H14" i="25"/>
  <c r="AB14" i="25" s="1"/>
  <c r="H15" i="25"/>
  <c r="H16" i="25"/>
  <c r="H17" i="25"/>
  <c r="H52" i="25"/>
  <c r="H30" i="25" s="1"/>
  <c r="H31" i="25" s="1"/>
  <c r="L50" i="25"/>
  <c r="L49" i="25"/>
  <c r="L48" i="25"/>
  <c r="J48" i="25"/>
  <c r="L46" i="25"/>
  <c r="L45" i="25"/>
  <c r="L44" i="25"/>
  <c r="J44" i="25"/>
  <c r="L42" i="25"/>
  <c r="L41" i="25"/>
  <c r="L40" i="25"/>
  <c r="J40" i="25"/>
  <c r="F40" i="25"/>
  <c r="D40" i="25"/>
  <c r="L38" i="25"/>
  <c r="L37" i="25"/>
  <c r="L36" i="25"/>
  <c r="J36" i="25"/>
  <c r="F36" i="25"/>
  <c r="D36" i="25"/>
  <c r="L34" i="25"/>
  <c r="L33" i="25"/>
  <c r="L32" i="25"/>
  <c r="J32" i="25"/>
  <c r="F32" i="25"/>
  <c r="D32" i="25"/>
  <c r="D52" i="25" s="1"/>
  <c r="D30" i="25" s="1"/>
  <c r="D31" i="25" s="1"/>
  <c r="Z24" i="25"/>
  <c r="Z9" i="25" s="1"/>
  <c r="Z10" i="25" s="1"/>
  <c r="P24" i="25"/>
  <c r="J24" i="25"/>
  <c r="J9" i="25" s="1"/>
  <c r="J10" i="25" s="1"/>
  <c r="F24" i="25"/>
  <c r="F9" i="25" s="1"/>
  <c r="F10" i="25" s="1"/>
  <c r="D24" i="25"/>
  <c r="D9" i="25" s="1"/>
  <c r="D10" i="25" s="1"/>
  <c r="A24" i="25"/>
  <c r="AB22" i="25"/>
  <c r="AB21" i="25"/>
  <c r="X19" i="25"/>
  <c r="T19" i="25"/>
  <c r="L19" i="25"/>
  <c r="T18" i="25"/>
  <c r="L18" i="25"/>
  <c r="X17" i="25"/>
  <c r="T17" i="25"/>
  <c r="N17" i="25"/>
  <c r="L17" i="25"/>
  <c r="T16" i="25"/>
  <c r="R16" i="25"/>
  <c r="R24" i="25" s="1"/>
  <c r="R9" i="25" s="1"/>
  <c r="R10" i="25" s="1"/>
  <c r="N16" i="25"/>
  <c r="L16" i="25"/>
  <c r="V15" i="25"/>
  <c r="T15" i="25"/>
  <c r="L15" i="25"/>
  <c r="X13" i="25"/>
  <c r="V13" i="25"/>
  <c r="T13" i="25"/>
  <c r="N13" i="25"/>
  <c r="L13" i="25"/>
  <c r="T12" i="25"/>
  <c r="N12" i="25"/>
  <c r="L12" i="25"/>
  <c r="H12" i="25"/>
  <c r="V11" i="25"/>
  <c r="V24" i="25" s="1"/>
  <c r="V9" i="25" s="1"/>
  <c r="V10" i="25" s="1"/>
  <c r="T11" i="25"/>
  <c r="H11" i="25"/>
  <c r="P9" i="25"/>
  <c r="P10" i="25" s="1"/>
  <c r="AB8" i="25"/>
  <c r="L19" i="22"/>
  <c r="T19" i="22"/>
  <c r="X19" i="22"/>
  <c r="T18" i="22"/>
  <c r="L18" i="22"/>
  <c r="AB18" i="22" s="1"/>
  <c r="X17" i="22"/>
  <c r="T17" i="22"/>
  <c r="N17" i="22"/>
  <c r="L17" i="22"/>
  <c r="H17" i="22"/>
  <c r="H15" i="22"/>
  <c r="T15" i="22"/>
  <c r="V15" i="22"/>
  <c r="H16" i="22"/>
  <c r="T16" i="22"/>
  <c r="L16" i="22"/>
  <c r="R16" i="22"/>
  <c r="R24" i="22" s="1"/>
  <c r="R9" i="22" s="1"/>
  <c r="R10" i="22" s="1"/>
  <c r="N16" i="22"/>
  <c r="L15" i="22"/>
  <c r="D11" i="24"/>
  <c r="K11" i="24" s="1"/>
  <c r="I28" i="24"/>
  <c r="I9" i="24" s="1"/>
  <c r="I10" i="24" s="1"/>
  <c r="G28" i="24"/>
  <c r="K26" i="24"/>
  <c r="K25" i="24"/>
  <c r="K24" i="24"/>
  <c r="K23" i="24"/>
  <c r="K22" i="24"/>
  <c r="D28" i="24"/>
  <c r="K20" i="24"/>
  <c r="K19" i="24"/>
  <c r="K18" i="24"/>
  <c r="K17" i="24"/>
  <c r="K16" i="24"/>
  <c r="K15" i="24"/>
  <c r="K14" i="24"/>
  <c r="K13" i="24"/>
  <c r="K12" i="24"/>
  <c r="G9" i="24"/>
  <c r="G10" i="24" s="1"/>
  <c r="K8" i="24"/>
  <c r="E47" i="23"/>
  <c r="G47" i="23"/>
  <c r="I47" i="23"/>
  <c r="K47" i="23"/>
  <c r="C49" i="23"/>
  <c r="E49" i="23"/>
  <c r="G49" i="23"/>
  <c r="I49" i="23"/>
  <c r="C50" i="23"/>
  <c r="E50" i="23"/>
  <c r="G50" i="23"/>
  <c r="I50" i="23"/>
  <c r="K50" i="23"/>
  <c r="C51" i="23"/>
  <c r="E51" i="23"/>
  <c r="G51" i="23"/>
  <c r="I51" i="23"/>
  <c r="K51" i="23"/>
  <c r="G52" i="23"/>
  <c r="I52" i="23"/>
  <c r="K52" i="23"/>
  <c r="C53" i="23"/>
  <c r="E53" i="23"/>
  <c r="G53" i="23"/>
  <c r="I53" i="23"/>
  <c r="K53" i="23"/>
  <c r="E54" i="23"/>
  <c r="M54" i="23" s="1"/>
  <c r="C43" i="23"/>
  <c r="M43" i="23" s="1"/>
  <c r="C44" i="23"/>
  <c r="M44" i="23" s="1"/>
  <c r="C45" i="23"/>
  <c r="E45" i="23"/>
  <c r="C46" i="23"/>
  <c r="E46" i="23"/>
  <c r="G48" i="23"/>
  <c r="I48" i="23"/>
  <c r="K48" i="23"/>
  <c r="G168" i="23"/>
  <c r="I167" i="23"/>
  <c r="M167" i="23" s="1"/>
  <c r="E166" i="23"/>
  <c r="M166" i="23" s="1"/>
  <c r="E165" i="23"/>
  <c r="C165" i="23"/>
  <c r="M165" i="23" s="1"/>
  <c r="C164" i="23"/>
  <c r="M164" i="23" s="1"/>
  <c r="C163" i="23"/>
  <c r="M162" i="23"/>
  <c r="M161" i="23"/>
  <c r="K160" i="23"/>
  <c r="K168" i="23" s="1"/>
  <c r="I160" i="23"/>
  <c r="I154" i="23"/>
  <c r="G154" i="23"/>
  <c r="E154" i="23"/>
  <c r="C154" i="23"/>
  <c r="G153" i="23"/>
  <c r="M153" i="23" s="1"/>
  <c r="M152" i="23"/>
  <c r="K151" i="23"/>
  <c r="K155" i="23" s="1"/>
  <c r="I151" i="23"/>
  <c r="G151" i="23"/>
  <c r="E151" i="23"/>
  <c r="C151" i="23"/>
  <c r="M148" i="23"/>
  <c r="I147" i="23"/>
  <c r="G147" i="23"/>
  <c r="E147" i="23"/>
  <c r="C147" i="23"/>
  <c r="K146" i="23"/>
  <c r="K149" i="23" s="1"/>
  <c r="I146" i="23"/>
  <c r="G146" i="23"/>
  <c r="E146" i="23"/>
  <c r="C146" i="23"/>
  <c r="I145" i="23"/>
  <c r="E145" i="23"/>
  <c r="O143" i="23"/>
  <c r="I142" i="23"/>
  <c r="E142" i="23"/>
  <c r="K141" i="23"/>
  <c r="K143" i="23" s="1"/>
  <c r="I141" i="23"/>
  <c r="G141" i="23"/>
  <c r="G143" i="23" s="1"/>
  <c r="C141" i="23"/>
  <c r="C143" i="23" s="1"/>
  <c r="O138" i="23"/>
  <c r="M137" i="23"/>
  <c r="I136" i="23"/>
  <c r="E136" i="23"/>
  <c r="C136" i="23"/>
  <c r="K135" i="23"/>
  <c r="K138" i="23" s="1"/>
  <c r="I135" i="23"/>
  <c r="I138" i="23" s="1"/>
  <c r="G135" i="23"/>
  <c r="G138" i="23" s="1"/>
  <c r="E135" i="23"/>
  <c r="C135" i="23"/>
  <c r="O133" i="23"/>
  <c r="K132" i="23"/>
  <c r="I132" i="23"/>
  <c r="G132" i="23"/>
  <c r="E132" i="23"/>
  <c r="K131" i="23"/>
  <c r="G131" i="23"/>
  <c r="E131" i="23"/>
  <c r="O130" i="23"/>
  <c r="K130" i="23"/>
  <c r="I130" i="23"/>
  <c r="G130" i="23"/>
  <c r="C130" i="23"/>
  <c r="K129" i="23"/>
  <c r="I129" i="23"/>
  <c r="G129" i="23"/>
  <c r="E129" i="23"/>
  <c r="K128" i="23"/>
  <c r="I128" i="23"/>
  <c r="I133" i="23" s="1"/>
  <c r="G128" i="23"/>
  <c r="E128" i="23"/>
  <c r="K125" i="23"/>
  <c r="I125" i="23"/>
  <c r="G125" i="23"/>
  <c r="E125" i="23"/>
  <c r="C125" i="23"/>
  <c r="K124" i="23"/>
  <c r="I124" i="23"/>
  <c r="G124" i="23"/>
  <c r="E124" i="23"/>
  <c r="K123" i="23"/>
  <c r="E123" i="23"/>
  <c r="M122" i="23"/>
  <c r="M121" i="23"/>
  <c r="M120" i="23"/>
  <c r="M119" i="23"/>
  <c r="M118" i="23"/>
  <c r="E117" i="23"/>
  <c r="M117" i="23" s="1"/>
  <c r="M116" i="23"/>
  <c r="K115" i="23"/>
  <c r="M115" i="23" s="1"/>
  <c r="M114" i="23"/>
  <c r="I113" i="23"/>
  <c r="G113" i="23"/>
  <c r="E113" i="23"/>
  <c r="C113" i="23"/>
  <c r="K112" i="23"/>
  <c r="I112" i="23"/>
  <c r="M111" i="23"/>
  <c r="K110" i="23"/>
  <c r="I110" i="23"/>
  <c r="G110" i="23"/>
  <c r="E110" i="23"/>
  <c r="C110" i="23"/>
  <c r="K109" i="23"/>
  <c r="I109" i="23"/>
  <c r="E109" i="23"/>
  <c r="C109" i="23"/>
  <c r="I108" i="23"/>
  <c r="G108" i="23"/>
  <c r="E108" i="23"/>
  <c r="I107" i="23"/>
  <c r="G107" i="23"/>
  <c r="M106" i="23"/>
  <c r="I105" i="23"/>
  <c r="G105" i="23"/>
  <c r="E105" i="23"/>
  <c r="I104" i="23"/>
  <c r="G104" i="23"/>
  <c r="E104" i="23"/>
  <c r="M103" i="23"/>
  <c r="G102" i="23"/>
  <c r="E102" i="23"/>
  <c r="I101" i="23"/>
  <c r="E101" i="23"/>
  <c r="I100" i="23"/>
  <c r="C100" i="23"/>
  <c r="M99" i="23"/>
  <c r="I98" i="23"/>
  <c r="G98" i="23"/>
  <c r="E98" i="23"/>
  <c r="I97" i="23"/>
  <c r="G97" i="23"/>
  <c r="E97" i="23"/>
  <c r="I96" i="23"/>
  <c r="G96" i="23"/>
  <c r="E96" i="23"/>
  <c r="C96" i="23"/>
  <c r="K95" i="23"/>
  <c r="I95" i="23"/>
  <c r="G95" i="23"/>
  <c r="E95" i="23"/>
  <c r="C95" i="23"/>
  <c r="P94" i="23"/>
  <c r="I94" i="23"/>
  <c r="G94" i="23"/>
  <c r="E94" i="23"/>
  <c r="P93" i="23"/>
  <c r="I93" i="23"/>
  <c r="G93" i="23"/>
  <c r="E93" i="23"/>
  <c r="C93" i="23"/>
  <c r="P92" i="23"/>
  <c r="K92" i="23"/>
  <c r="I92" i="23"/>
  <c r="G92" i="23"/>
  <c r="E92" i="23"/>
  <c r="C92" i="23"/>
  <c r="E89" i="23"/>
  <c r="M89" i="23" s="1"/>
  <c r="K88" i="23"/>
  <c r="K90" i="23" s="1"/>
  <c r="I88" i="23"/>
  <c r="G88" i="23"/>
  <c r="E88" i="23"/>
  <c r="C88" i="23"/>
  <c r="C90" i="23" s="1"/>
  <c r="I87" i="23"/>
  <c r="G87" i="23"/>
  <c r="I86" i="23"/>
  <c r="G86" i="23"/>
  <c r="I85" i="23"/>
  <c r="E85" i="23"/>
  <c r="M82" i="23"/>
  <c r="M81" i="23"/>
  <c r="I80" i="23"/>
  <c r="E80" i="23"/>
  <c r="K79" i="23"/>
  <c r="I79" i="23"/>
  <c r="G79" i="23"/>
  <c r="E79" i="23"/>
  <c r="C79" i="23"/>
  <c r="K78" i="23"/>
  <c r="I78" i="23"/>
  <c r="G78" i="23"/>
  <c r="E78" i="23"/>
  <c r="C78" i="23"/>
  <c r="G76" i="23"/>
  <c r="E76" i="23"/>
  <c r="K75" i="23"/>
  <c r="I75" i="23"/>
  <c r="I76" i="23" s="1"/>
  <c r="C75" i="23"/>
  <c r="C76" i="23" s="1"/>
  <c r="K72" i="23"/>
  <c r="I72" i="23"/>
  <c r="K71" i="23"/>
  <c r="I71" i="23"/>
  <c r="G71" i="23"/>
  <c r="E71" i="23"/>
  <c r="K70" i="23"/>
  <c r="I70" i="23"/>
  <c r="G70" i="23"/>
  <c r="G73" i="23" s="1"/>
  <c r="C70" i="23"/>
  <c r="G68" i="23"/>
  <c r="K67" i="23"/>
  <c r="I67" i="23"/>
  <c r="E67" i="23"/>
  <c r="K66" i="23"/>
  <c r="I66" i="23"/>
  <c r="E66" i="23"/>
  <c r="K65" i="23"/>
  <c r="I65" i="23"/>
  <c r="E65" i="23"/>
  <c r="K64" i="23"/>
  <c r="I64" i="23"/>
  <c r="E64" i="23"/>
  <c r="K63" i="23"/>
  <c r="I63" i="23"/>
  <c r="E63" i="23"/>
  <c r="C63" i="23"/>
  <c r="K62" i="23"/>
  <c r="E62" i="23"/>
  <c r="C62" i="23"/>
  <c r="K58" i="23"/>
  <c r="I58" i="23"/>
  <c r="G58" i="23"/>
  <c r="G60" i="23" s="1"/>
  <c r="E58" i="23"/>
  <c r="C58" i="23"/>
  <c r="K57" i="23"/>
  <c r="I57" i="23"/>
  <c r="E57" i="23"/>
  <c r="E60" i="23" s="1"/>
  <c r="C57" i="23"/>
  <c r="E42" i="23"/>
  <c r="C42" i="23"/>
  <c r="K41" i="23"/>
  <c r="I41" i="23"/>
  <c r="G41" i="23"/>
  <c r="E41" i="23"/>
  <c r="C41" i="23"/>
  <c r="K40" i="23"/>
  <c r="I40" i="23"/>
  <c r="G40" i="23"/>
  <c r="E40" i="23"/>
  <c r="C40" i="23"/>
  <c r="K39" i="23"/>
  <c r="I39" i="23"/>
  <c r="K38" i="23"/>
  <c r="I38" i="23"/>
  <c r="G38" i="23"/>
  <c r="E38" i="23"/>
  <c r="C38" i="23"/>
  <c r="K37" i="23"/>
  <c r="I37" i="23"/>
  <c r="G37" i="23"/>
  <c r="E37" i="23"/>
  <c r="C37" i="23"/>
  <c r="K36" i="23"/>
  <c r="I36" i="23"/>
  <c r="G36" i="23"/>
  <c r="E36" i="23"/>
  <c r="C36" i="23"/>
  <c r="K35" i="23"/>
  <c r="I35" i="23"/>
  <c r="G35" i="23"/>
  <c r="E35" i="23"/>
  <c r="C35" i="23"/>
  <c r="K34" i="23"/>
  <c r="I34" i="23"/>
  <c r="G34" i="23"/>
  <c r="E34" i="23"/>
  <c r="C34" i="23"/>
  <c r="K33" i="23"/>
  <c r="I33" i="23"/>
  <c r="G33" i="23"/>
  <c r="E33" i="23"/>
  <c r="C33" i="23"/>
  <c r="K32" i="23"/>
  <c r="I32" i="23"/>
  <c r="G32" i="23"/>
  <c r="E32" i="23"/>
  <c r="C32" i="23"/>
  <c r="E31" i="23"/>
  <c r="M31" i="23" s="1"/>
  <c r="K30" i="23"/>
  <c r="I30" i="23"/>
  <c r="G30" i="23"/>
  <c r="E30" i="23"/>
  <c r="C30" i="23"/>
  <c r="K29" i="23"/>
  <c r="I29" i="23"/>
  <c r="G29" i="23"/>
  <c r="E29" i="23"/>
  <c r="C29" i="23"/>
  <c r="K28" i="23"/>
  <c r="I28" i="23"/>
  <c r="G28" i="23"/>
  <c r="E28" i="23"/>
  <c r="C28" i="23"/>
  <c r="K27" i="23"/>
  <c r="I27" i="23"/>
  <c r="E27" i="23"/>
  <c r="C27" i="23"/>
  <c r="K26" i="23"/>
  <c r="I26" i="23"/>
  <c r="G26" i="23"/>
  <c r="E26" i="23"/>
  <c r="C26" i="23"/>
  <c r="K25" i="23"/>
  <c r="I25" i="23"/>
  <c r="G25" i="23"/>
  <c r="E25" i="23"/>
  <c r="C25" i="23"/>
  <c r="K24" i="23"/>
  <c r="I24" i="23"/>
  <c r="G24" i="23"/>
  <c r="E24" i="23"/>
  <c r="C24" i="23"/>
  <c r="K23" i="23"/>
  <c r="I23" i="23"/>
  <c r="G23" i="23"/>
  <c r="E23" i="23"/>
  <c r="C23" i="23"/>
  <c r="K22" i="23"/>
  <c r="C22" i="23"/>
  <c r="K21" i="23"/>
  <c r="I21" i="23"/>
  <c r="G21" i="23"/>
  <c r="E21" i="23"/>
  <c r="C21" i="23"/>
  <c r="K20" i="23"/>
  <c r="I20" i="23"/>
  <c r="G20" i="23"/>
  <c r="E20" i="23"/>
  <c r="C20" i="23"/>
  <c r="K19" i="23"/>
  <c r="I19" i="23"/>
  <c r="G19" i="23"/>
  <c r="E19" i="23"/>
  <c r="C19" i="23"/>
  <c r="E15" i="23"/>
  <c r="C15" i="23"/>
  <c r="I14" i="23"/>
  <c r="G14" i="23"/>
  <c r="E14" i="23"/>
  <c r="C14" i="23"/>
  <c r="E13" i="23"/>
  <c r="M13" i="23" s="1"/>
  <c r="K12" i="23"/>
  <c r="I12" i="23"/>
  <c r="G12" i="23"/>
  <c r="E12" i="23"/>
  <c r="C12" i="23"/>
  <c r="K11" i="23"/>
  <c r="G11" i="23"/>
  <c r="E11" i="23"/>
  <c r="K10" i="23"/>
  <c r="I10" i="23"/>
  <c r="G10" i="23"/>
  <c r="E10" i="23"/>
  <c r="C10" i="23"/>
  <c r="C5" i="23"/>
  <c r="P94" i="14"/>
  <c r="P93" i="14"/>
  <c r="P92" i="14"/>
  <c r="E13" i="14"/>
  <c r="M13" i="14" s="1"/>
  <c r="O143" i="14"/>
  <c r="O133" i="14"/>
  <c r="O130" i="14"/>
  <c r="O138" i="14"/>
  <c r="X13" i="22"/>
  <c r="L42" i="22"/>
  <c r="L41" i="22"/>
  <c r="L40" i="22"/>
  <c r="L46" i="22"/>
  <c r="L45" i="22"/>
  <c r="L44" i="22"/>
  <c r="L50" i="22"/>
  <c r="L49" i="22"/>
  <c r="L48" i="22"/>
  <c r="L38" i="22"/>
  <c r="L37" i="22"/>
  <c r="L36" i="22"/>
  <c r="L34" i="22"/>
  <c r="L33" i="22"/>
  <c r="L32" i="22"/>
  <c r="D32" i="22"/>
  <c r="F32" i="22"/>
  <c r="J32" i="22"/>
  <c r="D36" i="22"/>
  <c r="F36" i="22"/>
  <c r="J36" i="22"/>
  <c r="J40" i="22"/>
  <c r="J44" i="22"/>
  <c r="J48" i="22"/>
  <c r="D40" i="22"/>
  <c r="H14" i="22"/>
  <c r="H12" i="22"/>
  <c r="H11" i="22"/>
  <c r="F40" i="22"/>
  <c r="T13" i="22"/>
  <c r="T12" i="22"/>
  <c r="L13" i="22"/>
  <c r="V11" i="22"/>
  <c r="T11" i="22"/>
  <c r="L12" i="22"/>
  <c r="N12" i="22"/>
  <c r="N13" i="22"/>
  <c r="V13" i="22"/>
  <c r="H52" i="22"/>
  <c r="H30" i="22" s="1"/>
  <c r="H31" i="22" s="1"/>
  <c r="Z24" i="22"/>
  <c r="Z9" i="22" s="1"/>
  <c r="Z10" i="22" s="1"/>
  <c r="P24" i="22"/>
  <c r="P9" i="22" s="1"/>
  <c r="P10" i="22" s="1"/>
  <c r="J24" i="22"/>
  <c r="J9" i="22" s="1"/>
  <c r="J10" i="22" s="1"/>
  <c r="F24" i="22"/>
  <c r="F9" i="22" s="1"/>
  <c r="F10" i="22" s="1"/>
  <c r="D24" i="22"/>
  <c r="D9" i="22" s="1"/>
  <c r="A24" i="22"/>
  <c r="AB22" i="22"/>
  <c r="AB21" i="22"/>
  <c r="AB20" i="22"/>
  <c r="AB14" i="22"/>
  <c r="AB8" i="22"/>
  <c r="G40" i="21"/>
  <c r="G39" i="21"/>
  <c r="G35" i="21"/>
  <c r="G43" i="21"/>
  <c r="G42" i="21"/>
  <c r="G36" i="21"/>
  <c r="G38" i="21"/>
  <c r="G37" i="21"/>
  <c r="G26" i="21"/>
  <c r="G24" i="21"/>
  <c r="G27" i="21"/>
  <c r="G22" i="21"/>
  <c r="G20" i="21"/>
  <c r="G34" i="21"/>
  <c r="G29" i="21"/>
  <c r="G31" i="21"/>
  <c r="G30" i="21"/>
  <c r="G33" i="21"/>
  <c r="G54" i="21"/>
  <c r="G55" i="21"/>
  <c r="G41" i="21"/>
  <c r="G52" i="21"/>
  <c r="E41" i="21"/>
  <c r="C41" i="21"/>
  <c r="J37" i="21"/>
  <c r="G25" i="21"/>
  <c r="G53" i="21"/>
  <c r="G51" i="21"/>
  <c r="I47" i="21"/>
  <c r="G170" i="21"/>
  <c r="C169" i="21"/>
  <c r="I169" i="21" s="1"/>
  <c r="I168" i="21"/>
  <c r="I167" i="21"/>
  <c r="I166" i="21"/>
  <c r="I165" i="21"/>
  <c r="I164" i="21"/>
  <c r="I163" i="21"/>
  <c r="E162" i="21"/>
  <c r="E170" i="21" s="1"/>
  <c r="C162" i="21"/>
  <c r="C170" i="21" s="1"/>
  <c r="C156" i="21"/>
  <c r="I156" i="21" s="1"/>
  <c r="I155" i="21"/>
  <c r="I154" i="21"/>
  <c r="G153" i="21"/>
  <c r="G157" i="21" s="1"/>
  <c r="E153" i="21"/>
  <c r="E157" i="21" s="1"/>
  <c r="C153" i="21"/>
  <c r="G151" i="21"/>
  <c r="I150" i="21"/>
  <c r="C149" i="21"/>
  <c r="I149" i="21" s="1"/>
  <c r="E148" i="21"/>
  <c r="E151" i="21" s="1"/>
  <c r="C148" i="21"/>
  <c r="C147" i="21"/>
  <c r="G145" i="21"/>
  <c r="C144" i="21"/>
  <c r="I144" i="21" s="1"/>
  <c r="E143" i="21"/>
  <c r="E145" i="21" s="1"/>
  <c r="C143" i="21"/>
  <c r="G140" i="21"/>
  <c r="I139" i="21"/>
  <c r="C138" i="21"/>
  <c r="I138" i="21" s="1"/>
  <c r="E137" i="21"/>
  <c r="E140" i="21" s="1"/>
  <c r="C137" i="21"/>
  <c r="G135" i="21"/>
  <c r="E134" i="21"/>
  <c r="C134" i="21"/>
  <c r="E133" i="21"/>
  <c r="I133" i="21" s="1"/>
  <c r="E132" i="21"/>
  <c r="C132" i="21"/>
  <c r="E131" i="21"/>
  <c r="C131" i="21"/>
  <c r="E130" i="21"/>
  <c r="C130" i="21"/>
  <c r="G128" i="21"/>
  <c r="E127" i="21"/>
  <c r="C127" i="21"/>
  <c r="E126" i="21"/>
  <c r="C126" i="21"/>
  <c r="I126" i="21" s="1"/>
  <c r="E125" i="21"/>
  <c r="I125" i="21" s="1"/>
  <c r="I124" i="21"/>
  <c r="I123" i="21"/>
  <c r="I122" i="21"/>
  <c r="I121" i="21"/>
  <c r="I120" i="21"/>
  <c r="I119" i="21"/>
  <c r="I118" i="21"/>
  <c r="E117" i="21"/>
  <c r="I117" i="21" s="1"/>
  <c r="I116" i="21"/>
  <c r="C115" i="21"/>
  <c r="I115" i="21" s="1"/>
  <c r="E114" i="21"/>
  <c r="C114" i="21"/>
  <c r="I113" i="21"/>
  <c r="E112" i="21"/>
  <c r="C112" i="21"/>
  <c r="I112" i="21" s="1"/>
  <c r="E111" i="21"/>
  <c r="C111" i="21"/>
  <c r="C110" i="21"/>
  <c r="I110" i="21" s="1"/>
  <c r="C109" i="21"/>
  <c r="I109" i="21" s="1"/>
  <c r="I108" i="21"/>
  <c r="C107" i="21"/>
  <c r="I107" i="21" s="1"/>
  <c r="C106" i="21"/>
  <c r="I106" i="21" s="1"/>
  <c r="I105" i="21"/>
  <c r="I104" i="21"/>
  <c r="C103" i="21"/>
  <c r="I103" i="21" s="1"/>
  <c r="C102" i="21"/>
  <c r="I102" i="21" s="1"/>
  <c r="I101" i="21"/>
  <c r="C100" i="21"/>
  <c r="I100" i="21" s="1"/>
  <c r="C99" i="21"/>
  <c r="I99" i="21" s="1"/>
  <c r="C98" i="21"/>
  <c r="I98" i="21" s="1"/>
  <c r="E97" i="21"/>
  <c r="C97" i="21"/>
  <c r="C96" i="21"/>
  <c r="I96" i="21" s="1"/>
  <c r="C95" i="21"/>
  <c r="I95" i="21" s="1"/>
  <c r="E94" i="21"/>
  <c r="C94" i="21"/>
  <c r="G92" i="21"/>
  <c r="I91" i="21"/>
  <c r="E90" i="21"/>
  <c r="E92" i="21" s="1"/>
  <c r="C90" i="21"/>
  <c r="C89" i="21"/>
  <c r="I89" i="21" s="1"/>
  <c r="C88" i="21"/>
  <c r="I88" i="21" s="1"/>
  <c r="C87" i="21"/>
  <c r="I87" i="21" s="1"/>
  <c r="G85" i="21"/>
  <c r="I84" i="21"/>
  <c r="I83" i="21"/>
  <c r="C82" i="21"/>
  <c r="E81" i="21"/>
  <c r="C81" i="21"/>
  <c r="E80" i="21"/>
  <c r="C80" i="21"/>
  <c r="G78" i="21"/>
  <c r="E77" i="21"/>
  <c r="E78" i="21" s="1"/>
  <c r="C77" i="21"/>
  <c r="G75" i="21"/>
  <c r="E74" i="21"/>
  <c r="C74" i="21"/>
  <c r="E73" i="21"/>
  <c r="C73" i="21"/>
  <c r="I73" i="21" s="1"/>
  <c r="E72" i="21"/>
  <c r="C72" i="21"/>
  <c r="G70" i="21"/>
  <c r="E69" i="21"/>
  <c r="C69" i="21"/>
  <c r="E68" i="21"/>
  <c r="C68" i="21"/>
  <c r="E67" i="21"/>
  <c r="C67" i="21"/>
  <c r="E66" i="21"/>
  <c r="C66" i="21"/>
  <c r="E65" i="21"/>
  <c r="C65" i="21"/>
  <c r="E64" i="21"/>
  <c r="I64" i="21" s="1"/>
  <c r="G62" i="21"/>
  <c r="E60" i="21"/>
  <c r="C60" i="21"/>
  <c r="I60" i="21" s="1"/>
  <c r="E59" i="21"/>
  <c r="C59" i="21"/>
  <c r="I56" i="21"/>
  <c r="E55" i="21"/>
  <c r="C55" i="21"/>
  <c r="E54" i="21"/>
  <c r="C54" i="21"/>
  <c r="E53" i="21"/>
  <c r="C53" i="21"/>
  <c r="E52" i="21"/>
  <c r="C52" i="21"/>
  <c r="C51" i="21"/>
  <c r="E50" i="21"/>
  <c r="C50" i="21"/>
  <c r="E49" i="21"/>
  <c r="C49" i="21"/>
  <c r="I49" i="21" s="1"/>
  <c r="I48" i="21"/>
  <c r="I46" i="21"/>
  <c r="I45" i="21"/>
  <c r="I44" i="21"/>
  <c r="E43" i="21"/>
  <c r="C43" i="21"/>
  <c r="E42" i="21"/>
  <c r="C42" i="21"/>
  <c r="I40" i="21"/>
  <c r="E39" i="21"/>
  <c r="C39" i="21"/>
  <c r="E38" i="21"/>
  <c r="C38" i="21"/>
  <c r="E37" i="21"/>
  <c r="C37" i="21"/>
  <c r="E36" i="21"/>
  <c r="C36" i="21"/>
  <c r="E35" i="21"/>
  <c r="C35" i="21"/>
  <c r="E34" i="21"/>
  <c r="C34" i="21"/>
  <c r="E33" i="21"/>
  <c r="C33" i="21"/>
  <c r="I32" i="21"/>
  <c r="E31" i="21"/>
  <c r="C31" i="21"/>
  <c r="E30" i="21"/>
  <c r="C30" i="21"/>
  <c r="E29" i="21"/>
  <c r="C29" i="21"/>
  <c r="E28" i="21"/>
  <c r="C28" i="21"/>
  <c r="I28" i="21" s="1"/>
  <c r="E27" i="21"/>
  <c r="C27" i="21"/>
  <c r="E26" i="21"/>
  <c r="C26" i="21"/>
  <c r="E25" i="21"/>
  <c r="C25" i="21"/>
  <c r="E24" i="21"/>
  <c r="C24" i="21"/>
  <c r="E23" i="21"/>
  <c r="I23" i="21" s="1"/>
  <c r="E22" i="21"/>
  <c r="C22" i="21"/>
  <c r="E21" i="21"/>
  <c r="C21" i="21"/>
  <c r="E20" i="21"/>
  <c r="C20" i="21"/>
  <c r="I16" i="21"/>
  <c r="G15" i="21"/>
  <c r="C15" i="21"/>
  <c r="I14" i="21"/>
  <c r="E13" i="21"/>
  <c r="C13" i="21"/>
  <c r="E12" i="21"/>
  <c r="I12" i="21" s="1"/>
  <c r="G11" i="21"/>
  <c r="E11" i="21"/>
  <c r="C11" i="21"/>
  <c r="G10" i="21"/>
  <c r="E10" i="21"/>
  <c r="C10" i="21"/>
  <c r="E12" i="19"/>
  <c r="C12" i="19"/>
  <c r="I11" i="19"/>
  <c r="G11" i="19"/>
  <c r="E11" i="19"/>
  <c r="C11" i="19"/>
  <c r="E10" i="19"/>
  <c r="M10" i="19" s="1"/>
  <c r="K9" i="19"/>
  <c r="I9" i="19"/>
  <c r="G9" i="19"/>
  <c r="E9" i="19"/>
  <c r="C9" i="19"/>
  <c r="K8" i="19"/>
  <c r="G8" i="19"/>
  <c r="E8" i="19"/>
  <c r="K7" i="19"/>
  <c r="I7" i="19"/>
  <c r="G7" i="19"/>
  <c r="E7" i="19"/>
  <c r="C7" i="19"/>
  <c r="C5" i="14"/>
  <c r="I47" i="14"/>
  <c r="G47" i="14"/>
  <c r="C27" i="17"/>
  <c r="C10" i="17"/>
  <c r="C11" i="17"/>
  <c r="C14" i="17"/>
  <c r="C13" i="17"/>
  <c r="C12" i="17"/>
  <c r="C38" i="17"/>
  <c r="C35" i="17"/>
  <c r="C33" i="17"/>
  <c r="C31" i="17"/>
  <c r="C18" i="17"/>
  <c r="I35" i="12"/>
  <c r="I29" i="12"/>
  <c r="O29" i="12" s="1"/>
  <c r="K42" i="12"/>
  <c r="I80" i="14"/>
  <c r="I80" i="16"/>
  <c r="G10" i="16"/>
  <c r="C5" i="16"/>
  <c r="G168" i="16"/>
  <c r="I167" i="16"/>
  <c r="M167" i="16" s="1"/>
  <c r="E166" i="16"/>
  <c r="M166" i="16" s="1"/>
  <c r="E165" i="16"/>
  <c r="C165" i="16"/>
  <c r="C164" i="16"/>
  <c r="M164" i="16" s="1"/>
  <c r="C163" i="16"/>
  <c r="M162" i="16"/>
  <c r="M161" i="16"/>
  <c r="K160" i="16"/>
  <c r="K168" i="16" s="1"/>
  <c r="I160" i="16"/>
  <c r="I154" i="16"/>
  <c r="G154" i="16"/>
  <c r="E154" i="16"/>
  <c r="C154" i="16"/>
  <c r="G153" i="16"/>
  <c r="M153" i="16" s="1"/>
  <c r="M152" i="16"/>
  <c r="K151" i="16"/>
  <c r="K155" i="16" s="1"/>
  <c r="I151" i="16"/>
  <c r="I155" i="16" s="1"/>
  <c r="G151" i="16"/>
  <c r="G155" i="16" s="1"/>
  <c r="E151" i="16"/>
  <c r="C151" i="16"/>
  <c r="M148" i="16"/>
  <c r="I147" i="16"/>
  <c r="G147" i="16"/>
  <c r="E147" i="16"/>
  <c r="C147" i="16"/>
  <c r="K146" i="16"/>
  <c r="K149" i="16" s="1"/>
  <c r="I146" i="16"/>
  <c r="G146" i="16"/>
  <c r="E146" i="16"/>
  <c r="C146" i="16"/>
  <c r="I145" i="16"/>
  <c r="E145" i="16"/>
  <c r="I142" i="16"/>
  <c r="I143" i="16" s="1"/>
  <c r="E142" i="16"/>
  <c r="K141" i="16"/>
  <c r="K143" i="16" s="1"/>
  <c r="I141" i="16"/>
  <c r="G141" i="16"/>
  <c r="G143" i="16" s="1"/>
  <c r="E141" i="16"/>
  <c r="C141" i="16"/>
  <c r="C143" i="16" s="1"/>
  <c r="M137" i="16"/>
  <c r="I136" i="16"/>
  <c r="E136" i="16"/>
  <c r="C136" i="16"/>
  <c r="K135" i="16"/>
  <c r="K138" i="16" s="1"/>
  <c r="I135" i="16"/>
  <c r="I138" i="16" s="1"/>
  <c r="G135" i="16"/>
  <c r="G138" i="16" s="1"/>
  <c r="E135" i="16"/>
  <c r="C135" i="16"/>
  <c r="C138" i="16" s="1"/>
  <c r="K132" i="16"/>
  <c r="I132" i="16"/>
  <c r="G132" i="16"/>
  <c r="E132" i="16"/>
  <c r="K131" i="16"/>
  <c r="G131" i="16"/>
  <c r="E131" i="16"/>
  <c r="K130" i="16"/>
  <c r="I130" i="16"/>
  <c r="G130" i="16"/>
  <c r="C130" i="16"/>
  <c r="K129" i="16"/>
  <c r="I129" i="16"/>
  <c r="G129" i="16"/>
  <c r="E129" i="16"/>
  <c r="K128" i="16"/>
  <c r="I128" i="16"/>
  <c r="G128" i="16"/>
  <c r="E128" i="16"/>
  <c r="K125" i="16"/>
  <c r="I125" i="16"/>
  <c r="G125" i="16"/>
  <c r="E125" i="16"/>
  <c r="C125" i="16"/>
  <c r="K124" i="16"/>
  <c r="I124" i="16"/>
  <c r="G124" i="16"/>
  <c r="E124" i="16"/>
  <c r="K123" i="16"/>
  <c r="E123" i="16"/>
  <c r="M122" i="16"/>
  <c r="M121" i="16"/>
  <c r="M120" i="16"/>
  <c r="M119" i="16"/>
  <c r="M118" i="16"/>
  <c r="E117" i="16"/>
  <c r="M117" i="16" s="1"/>
  <c r="M116" i="16"/>
  <c r="K115" i="16"/>
  <c r="M115" i="16" s="1"/>
  <c r="M114" i="16"/>
  <c r="I113" i="16"/>
  <c r="G113" i="16"/>
  <c r="E113" i="16"/>
  <c r="C113" i="16"/>
  <c r="K112" i="16"/>
  <c r="I112" i="16"/>
  <c r="M111" i="16"/>
  <c r="K110" i="16"/>
  <c r="I110" i="16"/>
  <c r="G110" i="16"/>
  <c r="E110" i="16"/>
  <c r="C110" i="16"/>
  <c r="K109" i="16"/>
  <c r="I109" i="16"/>
  <c r="E109" i="16"/>
  <c r="C109" i="16"/>
  <c r="I108" i="16"/>
  <c r="G108" i="16"/>
  <c r="E108" i="16"/>
  <c r="I107" i="16"/>
  <c r="G107" i="16"/>
  <c r="M106" i="16"/>
  <c r="I105" i="16"/>
  <c r="G105" i="16"/>
  <c r="E105" i="16"/>
  <c r="I104" i="16"/>
  <c r="G104" i="16"/>
  <c r="E104" i="16"/>
  <c r="M103" i="16"/>
  <c r="G102" i="16"/>
  <c r="E102" i="16"/>
  <c r="I101" i="16"/>
  <c r="E101" i="16"/>
  <c r="I100" i="16"/>
  <c r="C100" i="16"/>
  <c r="M99" i="16"/>
  <c r="I98" i="16"/>
  <c r="G98" i="16"/>
  <c r="E98" i="16"/>
  <c r="I97" i="16"/>
  <c r="G97" i="16"/>
  <c r="E97" i="16"/>
  <c r="I96" i="16"/>
  <c r="G96" i="16"/>
  <c r="E96" i="16"/>
  <c r="C96" i="16"/>
  <c r="K95" i="16"/>
  <c r="I95" i="16"/>
  <c r="G95" i="16"/>
  <c r="E95" i="16"/>
  <c r="C95" i="16"/>
  <c r="I94" i="16"/>
  <c r="G94" i="16"/>
  <c r="E94" i="16"/>
  <c r="I93" i="16"/>
  <c r="G93" i="16"/>
  <c r="E93" i="16"/>
  <c r="C93" i="16"/>
  <c r="K92" i="16"/>
  <c r="I92" i="16"/>
  <c r="G92" i="16"/>
  <c r="E92" i="16"/>
  <c r="C92" i="16"/>
  <c r="E89" i="16"/>
  <c r="M89" i="16" s="1"/>
  <c r="K88" i="16"/>
  <c r="K90" i="16" s="1"/>
  <c r="I88" i="16"/>
  <c r="G88" i="16"/>
  <c r="E88" i="16"/>
  <c r="C88" i="16"/>
  <c r="C90" i="16" s="1"/>
  <c r="I87" i="16"/>
  <c r="G87" i="16"/>
  <c r="I86" i="16"/>
  <c r="G86" i="16"/>
  <c r="I85" i="16"/>
  <c r="E85" i="16"/>
  <c r="M82" i="16"/>
  <c r="M81" i="16"/>
  <c r="E80" i="16"/>
  <c r="K79" i="16"/>
  <c r="I79" i="16"/>
  <c r="G79" i="16"/>
  <c r="E79" i="16"/>
  <c r="C79" i="16"/>
  <c r="K78" i="16"/>
  <c r="I78" i="16"/>
  <c r="G78" i="16"/>
  <c r="E78" i="16"/>
  <c r="C78" i="16"/>
  <c r="G76" i="16"/>
  <c r="E76" i="16"/>
  <c r="K75" i="16"/>
  <c r="K76" i="16" s="1"/>
  <c r="I75" i="16"/>
  <c r="I76" i="16" s="1"/>
  <c r="C75" i="16"/>
  <c r="C76" i="16" s="1"/>
  <c r="K72" i="16"/>
  <c r="I72" i="16"/>
  <c r="K71" i="16"/>
  <c r="I71" i="16"/>
  <c r="G71" i="16"/>
  <c r="E71" i="16"/>
  <c r="K70" i="16"/>
  <c r="I70" i="16"/>
  <c r="G70" i="16"/>
  <c r="G73" i="16" s="1"/>
  <c r="C70" i="16"/>
  <c r="G68" i="16"/>
  <c r="K67" i="16"/>
  <c r="I67" i="16"/>
  <c r="E67" i="16"/>
  <c r="K66" i="16"/>
  <c r="I66" i="16"/>
  <c r="E66" i="16"/>
  <c r="K65" i="16"/>
  <c r="I65" i="16"/>
  <c r="E65" i="16"/>
  <c r="K64" i="16"/>
  <c r="I64" i="16"/>
  <c r="E64" i="16"/>
  <c r="K63" i="16"/>
  <c r="I63" i="16"/>
  <c r="E63" i="16"/>
  <c r="C63" i="16"/>
  <c r="K62" i="16"/>
  <c r="E62" i="16"/>
  <c r="C62" i="16"/>
  <c r="K58" i="16"/>
  <c r="I58" i="16"/>
  <c r="G58" i="16"/>
  <c r="G60" i="16" s="1"/>
  <c r="E58" i="16"/>
  <c r="C58" i="16"/>
  <c r="K57" i="16"/>
  <c r="I57" i="16"/>
  <c r="E57" i="16"/>
  <c r="E60" i="16" s="1"/>
  <c r="C57" i="16"/>
  <c r="E54" i="16"/>
  <c r="M54" i="16" s="1"/>
  <c r="K53" i="16"/>
  <c r="I53" i="16"/>
  <c r="G53" i="16"/>
  <c r="E53" i="16"/>
  <c r="C53" i="16"/>
  <c r="K52" i="16"/>
  <c r="I52" i="16"/>
  <c r="G52" i="16"/>
  <c r="K51" i="16"/>
  <c r="I51" i="16"/>
  <c r="G51" i="16"/>
  <c r="E51" i="16"/>
  <c r="C51" i="16"/>
  <c r="K50" i="16"/>
  <c r="I50" i="16"/>
  <c r="G50" i="16"/>
  <c r="E50" i="16"/>
  <c r="C50" i="16"/>
  <c r="I49" i="16"/>
  <c r="G49" i="16"/>
  <c r="E49" i="16"/>
  <c r="C49" i="16"/>
  <c r="K48" i="16"/>
  <c r="I48" i="16"/>
  <c r="G48" i="16"/>
  <c r="K47" i="16"/>
  <c r="I47" i="16"/>
  <c r="G47" i="16"/>
  <c r="E47" i="16"/>
  <c r="E46" i="16"/>
  <c r="C46" i="16"/>
  <c r="E45" i="16"/>
  <c r="C45" i="16"/>
  <c r="C44" i="16"/>
  <c r="M44" i="16" s="1"/>
  <c r="C43" i="16"/>
  <c r="M43" i="16" s="1"/>
  <c r="E42" i="16"/>
  <c r="C42" i="16"/>
  <c r="K41" i="16"/>
  <c r="I41" i="16"/>
  <c r="G41" i="16"/>
  <c r="E41" i="16"/>
  <c r="C41" i="16"/>
  <c r="K40" i="16"/>
  <c r="I40" i="16"/>
  <c r="G40" i="16"/>
  <c r="E40" i="16"/>
  <c r="C40" i="16"/>
  <c r="K39" i="16"/>
  <c r="I39" i="16"/>
  <c r="K38" i="16"/>
  <c r="I38" i="16"/>
  <c r="G38" i="16"/>
  <c r="E38" i="16"/>
  <c r="C38" i="16"/>
  <c r="K37" i="16"/>
  <c r="I37" i="16"/>
  <c r="G37" i="16"/>
  <c r="E37" i="16"/>
  <c r="C37" i="16"/>
  <c r="K36" i="16"/>
  <c r="I36" i="16"/>
  <c r="G36" i="16"/>
  <c r="E36" i="16"/>
  <c r="C36" i="16"/>
  <c r="K35" i="16"/>
  <c r="I35" i="16"/>
  <c r="G35" i="16"/>
  <c r="E35" i="16"/>
  <c r="C35" i="16"/>
  <c r="K34" i="16"/>
  <c r="I34" i="16"/>
  <c r="G34" i="16"/>
  <c r="E34" i="16"/>
  <c r="C34" i="16"/>
  <c r="K33" i="16"/>
  <c r="I33" i="16"/>
  <c r="G33" i="16"/>
  <c r="E33" i="16"/>
  <c r="C33" i="16"/>
  <c r="K32" i="16"/>
  <c r="I32" i="16"/>
  <c r="G32" i="16"/>
  <c r="E32" i="16"/>
  <c r="C32" i="16"/>
  <c r="M31" i="16"/>
  <c r="E31" i="16"/>
  <c r="K30" i="16"/>
  <c r="I30" i="16"/>
  <c r="G30" i="16"/>
  <c r="E30" i="16"/>
  <c r="C30" i="16"/>
  <c r="K29" i="16"/>
  <c r="I29" i="16"/>
  <c r="G29" i="16"/>
  <c r="E29" i="16"/>
  <c r="C29" i="16"/>
  <c r="K28" i="16"/>
  <c r="I28" i="16"/>
  <c r="G28" i="16"/>
  <c r="E28" i="16"/>
  <c r="C28" i="16"/>
  <c r="K27" i="16"/>
  <c r="I27" i="16"/>
  <c r="E27" i="16"/>
  <c r="C27" i="16"/>
  <c r="K26" i="16"/>
  <c r="I26" i="16"/>
  <c r="G26" i="16"/>
  <c r="E26" i="16"/>
  <c r="C26" i="16"/>
  <c r="K25" i="16"/>
  <c r="I25" i="16"/>
  <c r="G25" i="16"/>
  <c r="E25" i="16"/>
  <c r="C25" i="16"/>
  <c r="K24" i="16"/>
  <c r="I24" i="16"/>
  <c r="G24" i="16"/>
  <c r="E24" i="16"/>
  <c r="C24" i="16"/>
  <c r="K23" i="16"/>
  <c r="I23" i="16"/>
  <c r="G23" i="16"/>
  <c r="E23" i="16"/>
  <c r="C23" i="16"/>
  <c r="K22" i="16"/>
  <c r="C22" i="16"/>
  <c r="M22" i="16" s="1"/>
  <c r="K21" i="16"/>
  <c r="I21" i="16"/>
  <c r="G21" i="16"/>
  <c r="E21" i="16"/>
  <c r="C21" i="16"/>
  <c r="K20" i="16"/>
  <c r="I20" i="16"/>
  <c r="G20" i="16"/>
  <c r="E20" i="16"/>
  <c r="C20" i="16"/>
  <c r="K19" i="16"/>
  <c r="I19" i="16"/>
  <c r="G19" i="16"/>
  <c r="E19" i="16"/>
  <c r="C19" i="16"/>
  <c r="E15" i="16"/>
  <c r="C15" i="16"/>
  <c r="I14" i="16"/>
  <c r="G14" i="16"/>
  <c r="E14" i="16"/>
  <c r="C14" i="16"/>
  <c r="E13" i="16"/>
  <c r="M13" i="16" s="1"/>
  <c r="K12" i="16"/>
  <c r="I12" i="16"/>
  <c r="G12" i="16"/>
  <c r="E12" i="16"/>
  <c r="C12" i="16"/>
  <c r="K11" i="16"/>
  <c r="G11" i="16"/>
  <c r="E11" i="16"/>
  <c r="K10" i="16"/>
  <c r="I10" i="16"/>
  <c r="E10" i="16"/>
  <c r="C10" i="16"/>
  <c r="K151" i="14"/>
  <c r="K155" i="14" s="1"/>
  <c r="E80" i="14"/>
  <c r="E15" i="14"/>
  <c r="C15" i="14"/>
  <c r="G168" i="14"/>
  <c r="I167" i="14"/>
  <c r="M167" i="14" s="1"/>
  <c r="E166" i="14"/>
  <c r="M166" i="14" s="1"/>
  <c r="E165" i="14"/>
  <c r="C165" i="14"/>
  <c r="C164" i="14"/>
  <c r="M164" i="14" s="1"/>
  <c r="C163" i="14"/>
  <c r="M162" i="14"/>
  <c r="M161" i="14"/>
  <c r="K160" i="14"/>
  <c r="K168" i="14" s="1"/>
  <c r="I160" i="14"/>
  <c r="I154" i="14"/>
  <c r="G154" i="14"/>
  <c r="E154" i="14"/>
  <c r="C154" i="14"/>
  <c r="G153" i="14"/>
  <c r="M153" i="14" s="1"/>
  <c r="M152" i="14"/>
  <c r="I151" i="14"/>
  <c r="G151" i="14"/>
  <c r="E151" i="14"/>
  <c r="C151" i="14"/>
  <c r="M148" i="14"/>
  <c r="I147" i="14"/>
  <c r="G147" i="14"/>
  <c r="E147" i="14"/>
  <c r="C147" i="14"/>
  <c r="K146" i="14"/>
  <c r="K149" i="14" s="1"/>
  <c r="I146" i="14"/>
  <c r="G146" i="14"/>
  <c r="E146" i="14"/>
  <c r="C146" i="14"/>
  <c r="I145" i="14"/>
  <c r="E145" i="14"/>
  <c r="I142" i="14"/>
  <c r="E142" i="14"/>
  <c r="K141" i="14"/>
  <c r="K143" i="14" s="1"/>
  <c r="I141" i="14"/>
  <c r="G141" i="14"/>
  <c r="G143" i="14" s="1"/>
  <c r="E141" i="14"/>
  <c r="E143" i="14" s="1"/>
  <c r="C141" i="14"/>
  <c r="C143" i="14" s="1"/>
  <c r="M137" i="14"/>
  <c r="I136" i="14"/>
  <c r="E136" i="14"/>
  <c r="C136" i="14"/>
  <c r="K135" i="14"/>
  <c r="K138" i="14" s="1"/>
  <c r="I135" i="14"/>
  <c r="I138" i="14" s="1"/>
  <c r="G135" i="14"/>
  <c r="G138" i="14" s="1"/>
  <c r="E135" i="14"/>
  <c r="C135" i="14"/>
  <c r="K132" i="14"/>
  <c r="I132" i="14"/>
  <c r="G132" i="14"/>
  <c r="E132" i="14"/>
  <c r="K131" i="14"/>
  <c r="G131" i="14"/>
  <c r="E131" i="14"/>
  <c r="K130" i="14"/>
  <c r="I130" i="14"/>
  <c r="G130" i="14"/>
  <c r="C130" i="14"/>
  <c r="K129" i="14"/>
  <c r="I129" i="14"/>
  <c r="G129" i="14"/>
  <c r="E129" i="14"/>
  <c r="K128" i="14"/>
  <c r="I128" i="14"/>
  <c r="G128" i="14"/>
  <c r="E128" i="14"/>
  <c r="K125" i="14"/>
  <c r="I125" i="14"/>
  <c r="G125" i="14"/>
  <c r="E125" i="14"/>
  <c r="C125" i="14"/>
  <c r="K124" i="14"/>
  <c r="I124" i="14"/>
  <c r="G124" i="14"/>
  <c r="E124" i="14"/>
  <c r="K123" i="14"/>
  <c r="E123" i="14"/>
  <c r="M123" i="14" s="1"/>
  <c r="M122" i="14"/>
  <c r="M121" i="14"/>
  <c r="M120" i="14"/>
  <c r="M119" i="14"/>
  <c r="M118" i="14"/>
  <c r="E117" i="14"/>
  <c r="M117" i="14" s="1"/>
  <c r="M116" i="14"/>
  <c r="K115" i="14"/>
  <c r="M115" i="14" s="1"/>
  <c r="M114" i="14"/>
  <c r="I113" i="14"/>
  <c r="G113" i="14"/>
  <c r="E113" i="14"/>
  <c r="C113" i="14"/>
  <c r="K112" i="14"/>
  <c r="I112" i="14"/>
  <c r="M112" i="14" s="1"/>
  <c r="M111" i="14"/>
  <c r="K110" i="14"/>
  <c r="I110" i="14"/>
  <c r="G110" i="14"/>
  <c r="E110" i="14"/>
  <c r="C110" i="14"/>
  <c r="K109" i="14"/>
  <c r="I109" i="14"/>
  <c r="E109" i="14"/>
  <c r="C109" i="14"/>
  <c r="I108" i="14"/>
  <c r="G108" i="14"/>
  <c r="E108" i="14"/>
  <c r="I107" i="14"/>
  <c r="G107" i="14"/>
  <c r="M106" i="14"/>
  <c r="I105" i="14"/>
  <c r="G105" i="14"/>
  <c r="E105" i="14"/>
  <c r="I104" i="14"/>
  <c r="G104" i="14"/>
  <c r="E104" i="14"/>
  <c r="M103" i="14"/>
  <c r="G102" i="14"/>
  <c r="E102" i="14"/>
  <c r="I101" i="14"/>
  <c r="E101" i="14"/>
  <c r="I100" i="14"/>
  <c r="C100" i="14"/>
  <c r="M99" i="14"/>
  <c r="I98" i="14"/>
  <c r="G98" i="14"/>
  <c r="E98" i="14"/>
  <c r="I97" i="14"/>
  <c r="G97" i="14"/>
  <c r="E97" i="14"/>
  <c r="I96" i="14"/>
  <c r="G96" i="14"/>
  <c r="E96" i="14"/>
  <c r="C96" i="14"/>
  <c r="K95" i="14"/>
  <c r="I95" i="14"/>
  <c r="G95" i="14"/>
  <c r="E95" i="14"/>
  <c r="N95" i="14" s="1"/>
  <c r="P95" i="14" s="1"/>
  <c r="C95" i="14"/>
  <c r="I94" i="14"/>
  <c r="G94" i="14"/>
  <c r="E94" i="14"/>
  <c r="I93" i="14"/>
  <c r="G93" i="14"/>
  <c r="E93" i="14"/>
  <c r="C93" i="14"/>
  <c r="K92" i="14"/>
  <c r="I92" i="14"/>
  <c r="G92" i="14"/>
  <c r="E92" i="14"/>
  <c r="C92" i="14"/>
  <c r="E89" i="14"/>
  <c r="M89" i="14" s="1"/>
  <c r="K88" i="14"/>
  <c r="K90" i="14" s="1"/>
  <c r="I88" i="14"/>
  <c r="G88" i="14"/>
  <c r="E88" i="14"/>
  <c r="C88" i="14"/>
  <c r="C90" i="14" s="1"/>
  <c r="I87" i="14"/>
  <c r="G87" i="14"/>
  <c r="I86" i="14"/>
  <c r="G86" i="14"/>
  <c r="I85" i="14"/>
  <c r="E85" i="14"/>
  <c r="M82" i="14"/>
  <c r="M81" i="14"/>
  <c r="K79" i="14"/>
  <c r="I79" i="14"/>
  <c r="G79" i="14"/>
  <c r="E79" i="14"/>
  <c r="C79" i="14"/>
  <c r="K78" i="14"/>
  <c r="I78" i="14"/>
  <c r="G78" i="14"/>
  <c r="E78" i="14"/>
  <c r="C78" i="14"/>
  <c r="G76" i="14"/>
  <c r="E76" i="14"/>
  <c r="K75" i="14"/>
  <c r="K76" i="14" s="1"/>
  <c r="I75" i="14"/>
  <c r="I76" i="14" s="1"/>
  <c r="C75" i="14"/>
  <c r="K72" i="14"/>
  <c r="I72" i="14"/>
  <c r="M72" i="14" s="1"/>
  <c r="K71" i="14"/>
  <c r="I71" i="14"/>
  <c r="G71" i="14"/>
  <c r="E71" i="14"/>
  <c r="E73" i="14" s="1"/>
  <c r="K70" i="14"/>
  <c r="I70" i="14"/>
  <c r="G70" i="14"/>
  <c r="G73" i="14" s="1"/>
  <c r="C70" i="14"/>
  <c r="G68" i="14"/>
  <c r="K67" i="14"/>
  <c r="I67" i="14"/>
  <c r="E67" i="14"/>
  <c r="K66" i="14"/>
  <c r="I66" i="14"/>
  <c r="E66" i="14"/>
  <c r="K65" i="14"/>
  <c r="I65" i="14"/>
  <c r="E65" i="14"/>
  <c r="K64" i="14"/>
  <c r="I64" i="14"/>
  <c r="E64" i="14"/>
  <c r="K63" i="14"/>
  <c r="I63" i="14"/>
  <c r="E63" i="14"/>
  <c r="C63" i="14"/>
  <c r="K62" i="14"/>
  <c r="E62" i="14"/>
  <c r="C62" i="14"/>
  <c r="K58" i="14"/>
  <c r="I58" i="14"/>
  <c r="G58" i="14"/>
  <c r="G60" i="14" s="1"/>
  <c r="E58" i="14"/>
  <c r="C58" i="14"/>
  <c r="K57" i="14"/>
  <c r="I57" i="14"/>
  <c r="E57" i="14"/>
  <c r="E60" i="14" s="1"/>
  <c r="C57" i="14"/>
  <c r="C60" i="14" s="1"/>
  <c r="E54" i="14"/>
  <c r="M54" i="14" s="1"/>
  <c r="K53" i="14"/>
  <c r="I53" i="14"/>
  <c r="G53" i="14"/>
  <c r="E53" i="14"/>
  <c r="C53" i="14"/>
  <c r="K52" i="14"/>
  <c r="I52" i="14"/>
  <c r="G52" i="14"/>
  <c r="K51" i="14"/>
  <c r="I51" i="14"/>
  <c r="G51" i="14"/>
  <c r="E51" i="14"/>
  <c r="C51" i="14"/>
  <c r="K50" i="14"/>
  <c r="I50" i="14"/>
  <c r="G50" i="14"/>
  <c r="E50" i="14"/>
  <c r="C50" i="14"/>
  <c r="I49" i="14"/>
  <c r="G49" i="14"/>
  <c r="E49" i="14"/>
  <c r="C49" i="14"/>
  <c r="K48" i="14"/>
  <c r="I48" i="14"/>
  <c r="G48" i="14"/>
  <c r="K47" i="14"/>
  <c r="E47" i="14"/>
  <c r="E46" i="14"/>
  <c r="C46" i="14"/>
  <c r="E45" i="14"/>
  <c r="C45" i="14"/>
  <c r="M45" i="14" s="1"/>
  <c r="C44" i="14"/>
  <c r="M44" i="14" s="1"/>
  <c r="C43" i="14"/>
  <c r="M43" i="14" s="1"/>
  <c r="E42" i="14"/>
  <c r="C42" i="14"/>
  <c r="M42" i="14" s="1"/>
  <c r="K41" i="14"/>
  <c r="I41" i="14"/>
  <c r="G41" i="14"/>
  <c r="E41" i="14"/>
  <c r="C41" i="14"/>
  <c r="K40" i="14"/>
  <c r="I40" i="14"/>
  <c r="G40" i="14"/>
  <c r="E40" i="14"/>
  <c r="C40" i="14"/>
  <c r="K39" i="14"/>
  <c r="I39" i="14"/>
  <c r="M39" i="14" s="1"/>
  <c r="K38" i="14"/>
  <c r="I38" i="14"/>
  <c r="G38" i="14"/>
  <c r="E38" i="14"/>
  <c r="C38" i="14"/>
  <c r="K37" i="14"/>
  <c r="I37" i="14"/>
  <c r="G37" i="14"/>
  <c r="E37" i="14"/>
  <c r="C37" i="14"/>
  <c r="K36" i="14"/>
  <c r="I36" i="14"/>
  <c r="G36" i="14"/>
  <c r="E36" i="14"/>
  <c r="C36" i="14"/>
  <c r="K35" i="14"/>
  <c r="I35" i="14"/>
  <c r="G35" i="14"/>
  <c r="E35" i="14"/>
  <c r="C35" i="14"/>
  <c r="K34" i="14"/>
  <c r="I34" i="14"/>
  <c r="G34" i="14"/>
  <c r="E34" i="14"/>
  <c r="C34" i="14"/>
  <c r="K33" i="14"/>
  <c r="I33" i="14"/>
  <c r="G33" i="14"/>
  <c r="E33" i="14"/>
  <c r="C33" i="14"/>
  <c r="K32" i="14"/>
  <c r="I32" i="14"/>
  <c r="G32" i="14"/>
  <c r="E32" i="14"/>
  <c r="C32" i="14"/>
  <c r="E31" i="14"/>
  <c r="M31" i="14" s="1"/>
  <c r="K30" i="14"/>
  <c r="I30" i="14"/>
  <c r="G30" i="14"/>
  <c r="E30" i="14"/>
  <c r="C30" i="14"/>
  <c r="K29" i="14"/>
  <c r="I29" i="14"/>
  <c r="G29" i="14"/>
  <c r="E29" i="14"/>
  <c r="C29" i="14"/>
  <c r="K28" i="14"/>
  <c r="I28" i="14"/>
  <c r="G28" i="14"/>
  <c r="E28" i="14"/>
  <c r="C28" i="14"/>
  <c r="K27" i="14"/>
  <c r="I27" i="14"/>
  <c r="E27" i="14"/>
  <c r="C27" i="14"/>
  <c r="K26" i="14"/>
  <c r="I26" i="14"/>
  <c r="G26" i="14"/>
  <c r="E26" i="14"/>
  <c r="C26" i="14"/>
  <c r="K25" i="14"/>
  <c r="I25" i="14"/>
  <c r="G25" i="14"/>
  <c r="E25" i="14"/>
  <c r="C25" i="14"/>
  <c r="K24" i="14"/>
  <c r="I24" i="14"/>
  <c r="G24" i="14"/>
  <c r="E24" i="14"/>
  <c r="C24" i="14"/>
  <c r="K23" i="14"/>
  <c r="I23" i="14"/>
  <c r="G23" i="14"/>
  <c r="E23" i="14"/>
  <c r="C23" i="14"/>
  <c r="K22" i="14"/>
  <c r="C22" i="14"/>
  <c r="K21" i="14"/>
  <c r="I21" i="14"/>
  <c r="G21" i="14"/>
  <c r="E21" i="14"/>
  <c r="C21" i="14"/>
  <c r="K20" i="14"/>
  <c r="I20" i="14"/>
  <c r="G20" i="14"/>
  <c r="E20" i="14"/>
  <c r="C20" i="14"/>
  <c r="K19" i="14"/>
  <c r="I19" i="14"/>
  <c r="G19" i="14"/>
  <c r="E19" i="14"/>
  <c r="C19" i="14"/>
  <c r="I14" i="14"/>
  <c r="G14" i="14"/>
  <c r="E14" i="14"/>
  <c r="C14" i="14"/>
  <c r="K12" i="14"/>
  <c r="I12" i="14"/>
  <c r="G12" i="14"/>
  <c r="E12" i="14"/>
  <c r="C12" i="14"/>
  <c r="K11" i="14"/>
  <c r="G11" i="14"/>
  <c r="E11" i="14"/>
  <c r="K10" i="14"/>
  <c r="I10" i="14"/>
  <c r="G10" i="14"/>
  <c r="E10" i="14"/>
  <c r="C10" i="14"/>
  <c r="C5" i="11"/>
  <c r="K128" i="11"/>
  <c r="K145" i="11"/>
  <c r="K148" i="11" s="1"/>
  <c r="K122" i="11"/>
  <c r="I14" i="11"/>
  <c r="G14" i="11"/>
  <c r="E14" i="11"/>
  <c r="C14" i="11"/>
  <c r="E12" i="11"/>
  <c r="G168" i="13"/>
  <c r="I167" i="13"/>
  <c r="M167" i="13" s="1"/>
  <c r="E166" i="13"/>
  <c r="M166" i="13" s="1"/>
  <c r="E165" i="13"/>
  <c r="C165" i="13"/>
  <c r="C164" i="13"/>
  <c r="M164" i="13" s="1"/>
  <c r="C163" i="13"/>
  <c r="M163" i="13" s="1"/>
  <c r="M162" i="13"/>
  <c r="M161" i="13"/>
  <c r="K160" i="13"/>
  <c r="K168" i="13" s="1"/>
  <c r="I160" i="13"/>
  <c r="I154" i="13"/>
  <c r="G154" i="13"/>
  <c r="E154" i="13"/>
  <c r="C154" i="13"/>
  <c r="G153" i="13"/>
  <c r="M153" i="13" s="1"/>
  <c r="M152" i="13"/>
  <c r="K151" i="13"/>
  <c r="K155" i="13" s="1"/>
  <c r="I151" i="13"/>
  <c r="G151" i="13"/>
  <c r="E151" i="13"/>
  <c r="C151" i="13"/>
  <c r="K149" i="13"/>
  <c r="M148" i="13"/>
  <c r="I147" i="13"/>
  <c r="G147" i="13"/>
  <c r="E147" i="13"/>
  <c r="C147" i="13"/>
  <c r="I146" i="13"/>
  <c r="G146" i="13"/>
  <c r="E146" i="13"/>
  <c r="C146" i="13"/>
  <c r="C149" i="13" s="1"/>
  <c r="I145" i="13"/>
  <c r="E145" i="13"/>
  <c r="K142" i="13"/>
  <c r="I142" i="13"/>
  <c r="E142" i="13"/>
  <c r="M141" i="13"/>
  <c r="K140" i="13"/>
  <c r="K143" i="13" s="1"/>
  <c r="I140" i="13"/>
  <c r="I143" i="13" s="1"/>
  <c r="G140" i="13"/>
  <c r="G143" i="13" s="1"/>
  <c r="E140" i="13"/>
  <c r="C140" i="13"/>
  <c r="C143" i="13" s="1"/>
  <c r="M136" i="13"/>
  <c r="I135" i="13"/>
  <c r="E135" i="13"/>
  <c r="C135" i="13"/>
  <c r="K134" i="13"/>
  <c r="K137" i="13" s="1"/>
  <c r="I134" i="13"/>
  <c r="G134" i="13"/>
  <c r="G137" i="13" s="1"/>
  <c r="E134" i="13"/>
  <c r="C134" i="13"/>
  <c r="K131" i="13"/>
  <c r="I131" i="13"/>
  <c r="G131" i="13"/>
  <c r="E131" i="13"/>
  <c r="K130" i="13"/>
  <c r="G130" i="13"/>
  <c r="E130" i="13"/>
  <c r="K129" i="13"/>
  <c r="I129" i="13"/>
  <c r="G129" i="13"/>
  <c r="C129" i="13"/>
  <c r="K128" i="13"/>
  <c r="I128" i="13"/>
  <c r="G128" i="13"/>
  <c r="E128" i="13"/>
  <c r="K127" i="13"/>
  <c r="I127" i="13"/>
  <c r="G127" i="13"/>
  <c r="E127" i="13"/>
  <c r="K124" i="13"/>
  <c r="I124" i="13"/>
  <c r="G124" i="13"/>
  <c r="E124" i="13"/>
  <c r="C124" i="13"/>
  <c r="K123" i="13"/>
  <c r="I123" i="13"/>
  <c r="G123" i="13"/>
  <c r="E123" i="13"/>
  <c r="K122" i="13"/>
  <c r="E122" i="13"/>
  <c r="M122" i="13" s="1"/>
  <c r="M121" i="13"/>
  <c r="M120" i="13"/>
  <c r="M119" i="13"/>
  <c r="M118" i="13"/>
  <c r="K117" i="13"/>
  <c r="M117" i="13" s="1"/>
  <c r="E116" i="13"/>
  <c r="M116" i="13" s="1"/>
  <c r="M115" i="13"/>
  <c r="K114" i="13"/>
  <c r="M114" i="13" s="1"/>
  <c r="M113" i="13"/>
  <c r="I112" i="13"/>
  <c r="G112" i="13"/>
  <c r="E112" i="13"/>
  <c r="C112" i="13"/>
  <c r="K111" i="13"/>
  <c r="I111" i="13"/>
  <c r="M110" i="13"/>
  <c r="K109" i="13"/>
  <c r="I109" i="13"/>
  <c r="G109" i="13"/>
  <c r="E109" i="13"/>
  <c r="C109" i="13"/>
  <c r="K108" i="13"/>
  <c r="I108" i="13"/>
  <c r="E108" i="13"/>
  <c r="C108" i="13"/>
  <c r="I107" i="13"/>
  <c r="G107" i="13"/>
  <c r="E107" i="13"/>
  <c r="I106" i="13"/>
  <c r="G106" i="13"/>
  <c r="M105" i="13"/>
  <c r="I104" i="13"/>
  <c r="G104" i="13"/>
  <c r="E104" i="13"/>
  <c r="I103" i="13"/>
  <c r="G103" i="13"/>
  <c r="E103" i="13"/>
  <c r="M102" i="13"/>
  <c r="G101" i="13"/>
  <c r="E101" i="13"/>
  <c r="M101" i="13" s="1"/>
  <c r="I100" i="13"/>
  <c r="E100" i="13"/>
  <c r="I99" i="13"/>
  <c r="C99" i="13"/>
  <c r="M98" i="13"/>
  <c r="I97" i="13"/>
  <c r="G97" i="13"/>
  <c r="E97" i="13"/>
  <c r="I96" i="13"/>
  <c r="G96" i="13"/>
  <c r="E96" i="13"/>
  <c r="I95" i="13"/>
  <c r="G95" i="13"/>
  <c r="E95" i="13"/>
  <c r="C95" i="13"/>
  <c r="K94" i="13"/>
  <c r="I94" i="13"/>
  <c r="G94" i="13"/>
  <c r="E94" i="13"/>
  <c r="C94" i="13"/>
  <c r="I93" i="13"/>
  <c r="G93" i="13"/>
  <c r="E93" i="13"/>
  <c r="I92" i="13"/>
  <c r="G92" i="13"/>
  <c r="E92" i="13"/>
  <c r="C92" i="13"/>
  <c r="K91" i="13"/>
  <c r="I91" i="13"/>
  <c r="G91" i="13"/>
  <c r="E91" i="13"/>
  <c r="C91" i="13"/>
  <c r="E88" i="13"/>
  <c r="M88" i="13" s="1"/>
  <c r="K87" i="13"/>
  <c r="K89" i="13" s="1"/>
  <c r="I87" i="13"/>
  <c r="G87" i="13"/>
  <c r="E87" i="13"/>
  <c r="C87" i="13"/>
  <c r="C89" i="13" s="1"/>
  <c r="I86" i="13"/>
  <c r="G86" i="13"/>
  <c r="M86" i="13" s="1"/>
  <c r="I85" i="13"/>
  <c r="G85" i="13"/>
  <c r="I84" i="13"/>
  <c r="E84" i="13"/>
  <c r="M81" i="13"/>
  <c r="M80" i="13"/>
  <c r="I79" i="13"/>
  <c r="E79" i="13"/>
  <c r="K78" i="13"/>
  <c r="I78" i="13"/>
  <c r="G78" i="13"/>
  <c r="E78" i="13"/>
  <c r="C78" i="13"/>
  <c r="K77" i="13"/>
  <c r="I77" i="13"/>
  <c r="G77" i="13"/>
  <c r="E77" i="13"/>
  <c r="C77" i="13"/>
  <c r="G75" i="13"/>
  <c r="E75" i="13"/>
  <c r="K74" i="13"/>
  <c r="K75" i="13" s="1"/>
  <c r="I74" i="13"/>
  <c r="I75" i="13" s="1"/>
  <c r="C74" i="13"/>
  <c r="C75" i="13" s="1"/>
  <c r="K71" i="13"/>
  <c r="I71" i="13"/>
  <c r="K70" i="13"/>
  <c r="I70" i="13"/>
  <c r="G70" i="13"/>
  <c r="E70" i="13"/>
  <c r="K69" i="13"/>
  <c r="I69" i="13"/>
  <c r="G69" i="13"/>
  <c r="G72" i="13" s="1"/>
  <c r="C69" i="13"/>
  <c r="G67" i="13"/>
  <c r="K66" i="13"/>
  <c r="I66" i="13"/>
  <c r="E66" i="13"/>
  <c r="K65" i="13"/>
  <c r="I65" i="13"/>
  <c r="E65" i="13"/>
  <c r="K64" i="13"/>
  <c r="I64" i="13"/>
  <c r="E64" i="13"/>
  <c r="K63" i="13"/>
  <c r="I63" i="13"/>
  <c r="E63" i="13"/>
  <c r="K62" i="13"/>
  <c r="I62" i="13"/>
  <c r="E62" i="13"/>
  <c r="C62" i="13"/>
  <c r="K61" i="13"/>
  <c r="E61" i="13"/>
  <c r="C61" i="13"/>
  <c r="C67" i="13" s="1"/>
  <c r="K57" i="13"/>
  <c r="I57" i="13"/>
  <c r="G57" i="13"/>
  <c r="G59" i="13" s="1"/>
  <c r="E57" i="13"/>
  <c r="C57" i="13"/>
  <c r="K56" i="13"/>
  <c r="I56" i="13"/>
  <c r="E56" i="13"/>
  <c r="C56" i="13"/>
  <c r="C59" i="13" s="1"/>
  <c r="E53" i="13"/>
  <c r="M53" i="13" s="1"/>
  <c r="K52" i="13"/>
  <c r="I52" i="13"/>
  <c r="G52" i="13"/>
  <c r="E52" i="13"/>
  <c r="C52" i="13"/>
  <c r="K51" i="13"/>
  <c r="I51" i="13"/>
  <c r="G51" i="13"/>
  <c r="K50" i="13"/>
  <c r="I50" i="13"/>
  <c r="G50" i="13"/>
  <c r="E50" i="13"/>
  <c r="C50" i="13"/>
  <c r="K49" i="13"/>
  <c r="I49" i="13"/>
  <c r="G49" i="13"/>
  <c r="E49" i="13"/>
  <c r="C49" i="13"/>
  <c r="I48" i="13"/>
  <c r="G48" i="13"/>
  <c r="E48" i="13"/>
  <c r="C48" i="13"/>
  <c r="K47" i="13"/>
  <c r="I47" i="13"/>
  <c r="G47" i="13"/>
  <c r="K46" i="13"/>
  <c r="I46" i="13"/>
  <c r="G46" i="13"/>
  <c r="E46" i="13"/>
  <c r="E45" i="13"/>
  <c r="C45" i="13"/>
  <c r="E44" i="13"/>
  <c r="C44" i="13"/>
  <c r="C43" i="13"/>
  <c r="M43" i="13" s="1"/>
  <c r="C42" i="13"/>
  <c r="M42" i="13" s="1"/>
  <c r="E41" i="13"/>
  <c r="C41" i="13"/>
  <c r="K40" i="13"/>
  <c r="I40" i="13"/>
  <c r="G40" i="13"/>
  <c r="E40" i="13"/>
  <c r="C40" i="13"/>
  <c r="K39" i="13"/>
  <c r="I39" i="13"/>
  <c r="G39" i="13"/>
  <c r="E39" i="13"/>
  <c r="C39" i="13"/>
  <c r="K38" i="13"/>
  <c r="I38" i="13"/>
  <c r="K37" i="13"/>
  <c r="I37" i="13"/>
  <c r="G37" i="13"/>
  <c r="E37" i="13"/>
  <c r="C37" i="13"/>
  <c r="K36" i="13"/>
  <c r="I36" i="13"/>
  <c r="G36" i="13"/>
  <c r="E36" i="13"/>
  <c r="C36" i="13"/>
  <c r="K35" i="13"/>
  <c r="I35" i="13"/>
  <c r="G35" i="13"/>
  <c r="E35" i="13"/>
  <c r="C35" i="13"/>
  <c r="K34" i="13"/>
  <c r="I34" i="13"/>
  <c r="G34" i="13"/>
  <c r="E34" i="13"/>
  <c r="C34" i="13"/>
  <c r="K33" i="13"/>
  <c r="I33" i="13"/>
  <c r="G33" i="13"/>
  <c r="E33" i="13"/>
  <c r="C33" i="13"/>
  <c r="K32" i="13"/>
  <c r="I32" i="13"/>
  <c r="G32" i="13"/>
  <c r="E32" i="13"/>
  <c r="C32" i="13"/>
  <c r="K31" i="13"/>
  <c r="I31" i="13"/>
  <c r="G31" i="13"/>
  <c r="E31" i="13"/>
  <c r="C31" i="13"/>
  <c r="E30" i="13"/>
  <c r="M30" i="13" s="1"/>
  <c r="K29" i="13"/>
  <c r="I29" i="13"/>
  <c r="G29" i="13"/>
  <c r="E29" i="13"/>
  <c r="C29" i="13"/>
  <c r="K28" i="13"/>
  <c r="I28" i="13"/>
  <c r="G28" i="13"/>
  <c r="E28" i="13"/>
  <c r="C28" i="13"/>
  <c r="K27" i="13"/>
  <c r="I27" i="13"/>
  <c r="G27" i="13"/>
  <c r="E27" i="13"/>
  <c r="C27" i="13"/>
  <c r="K26" i="13"/>
  <c r="I26" i="13"/>
  <c r="E26" i="13"/>
  <c r="C26" i="13"/>
  <c r="K25" i="13"/>
  <c r="I25" i="13"/>
  <c r="G25" i="13"/>
  <c r="E25" i="13"/>
  <c r="C25" i="13"/>
  <c r="K24" i="13"/>
  <c r="I24" i="13"/>
  <c r="G24" i="13"/>
  <c r="E24" i="13"/>
  <c r="C24" i="13"/>
  <c r="K23" i="13"/>
  <c r="I23" i="13"/>
  <c r="G23" i="13"/>
  <c r="E23" i="13"/>
  <c r="C23" i="13"/>
  <c r="K22" i="13"/>
  <c r="I22" i="13"/>
  <c r="G22" i="13"/>
  <c r="E22" i="13"/>
  <c r="C22" i="13"/>
  <c r="K21" i="13"/>
  <c r="C21" i="13"/>
  <c r="K20" i="13"/>
  <c r="I20" i="13"/>
  <c r="G20" i="13"/>
  <c r="E20" i="13"/>
  <c r="C20" i="13"/>
  <c r="K19" i="13"/>
  <c r="I19" i="13"/>
  <c r="G19" i="13"/>
  <c r="E19" i="13"/>
  <c r="C19" i="13"/>
  <c r="K18" i="13"/>
  <c r="I18" i="13"/>
  <c r="G18" i="13"/>
  <c r="E18" i="13"/>
  <c r="C18" i="13"/>
  <c r="E14" i="13"/>
  <c r="M14" i="13" s="1"/>
  <c r="E13" i="13"/>
  <c r="M13" i="13" s="1"/>
  <c r="K12" i="13"/>
  <c r="I12" i="13"/>
  <c r="G12" i="13"/>
  <c r="E12" i="13"/>
  <c r="C12" i="13"/>
  <c r="K11" i="13"/>
  <c r="G11" i="13"/>
  <c r="E11" i="13"/>
  <c r="K10" i="13"/>
  <c r="I10" i="13"/>
  <c r="I15" i="13" s="1"/>
  <c r="I6" i="13" s="1"/>
  <c r="G10" i="13"/>
  <c r="G15" i="13" s="1"/>
  <c r="G6" i="13" s="1"/>
  <c r="E10" i="13"/>
  <c r="C10" i="13"/>
  <c r="K124" i="11"/>
  <c r="I124" i="11"/>
  <c r="G124" i="11"/>
  <c r="E124" i="11"/>
  <c r="C124" i="11"/>
  <c r="M46" i="12"/>
  <c r="G46" i="12"/>
  <c r="E46" i="12"/>
  <c r="C46" i="12"/>
  <c r="K43" i="12"/>
  <c r="O43" i="12" s="1"/>
  <c r="I42" i="12"/>
  <c r="I41" i="12"/>
  <c r="O41" i="12" s="1"/>
  <c r="K40" i="12"/>
  <c r="O40" i="12" s="1"/>
  <c r="K39" i="12"/>
  <c r="I39" i="12"/>
  <c r="K38" i="12"/>
  <c r="I38" i="12"/>
  <c r="K37" i="12"/>
  <c r="O37" i="12" s="1"/>
  <c r="K36" i="12"/>
  <c r="O36" i="12" s="1"/>
  <c r="K35" i="12"/>
  <c r="O35" i="12" s="1"/>
  <c r="K34" i="12"/>
  <c r="O34" i="12" s="1"/>
  <c r="O33" i="12"/>
  <c r="I32" i="12"/>
  <c r="O32" i="12" s="1"/>
  <c r="O31" i="12"/>
  <c r="O30" i="12"/>
  <c r="O28" i="12"/>
  <c r="K27" i="12"/>
  <c r="O26" i="12"/>
  <c r="M15" i="12"/>
  <c r="K15" i="12"/>
  <c r="I15" i="12"/>
  <c r="G15" i="12"/>
  <c r="E15" i="12"/>
  <c r="C15" i="12"/>
  <c r="O13" i="12"/>
  <c r="O12" i="12"/>
  <c r="O11" i="12"/>
  <c r="O10" i="12"/>
  <c r="O9" i="12"/>
  <c r="O8" i="12"/>
  <c r="O7" i="12"/>
  <c r="G167" i="11"/>
  <c r="I166" i="11"/>
  <c r="M166" i="11" s="1"/>
  <c r="E165" i="11"/>
  <c r="E164" i="11"/>
  <c r="C164" i="11"/>
  <c r="C163" i="11"/>
  <c r="M163" i="11" s="1"/>
  <c r="C162" i="11"/>
  <c r="M161" i="11"/>
  <c r="M160" i="11"/>
  <c r="K159" i="11"/>
  <c r="K167" i="11" s="1"/>
  <c r="I159" i="11"/>
  <c r="I153" i="11"/>
  <c r="G153" i="11"/>
  <c r="E153" i="11"/>
  <c r="C153" i="11"/>
  <c r="G152" i="11"/>
  <c r="M152" i="11" s="1"/>
  <c r="M151" i="11"/>
  <c r="K150" i="11"/>
  <c r="K154" i="11" s="1"/>
  <c r="I150" i="11"/>
  <c r="G150" i="11"/>
  <c r="G154" i="11" s="1"/>
  <c r="E150" i="11"/>
  <c r="C150" i="11"/>
  <c r="M147" i="11"/>
  <c r="I146" i="11"/>
  <c r="G146" i="11"/>
  <c r="E146" i="11"/>
  <c r="C146" i="11"/>
  <c r="I145" i="11"/>
  <c r="G145" i="11"/>
  <c r="G148" i="11" s="1"/>
  <c r="E145" i="11"/>
  <c r="C145" i="11"/>
  <c r="C148" i="11" s="1"/>
  <c r="I144" i="11"/>
  <c r="E144" i="11"/>
  <c r="I141" i="11"/>
  <c r="E141" i="11"/>
  <c r="M141" i="11" s="1"/>
  <c r="K140" i="11"/>
  <c r="K142" i="11" s="1"/>
  <c r="I140" i="11"/>
  <c r="G140" i="11"/>
  <c r="G142" i="11" s="1"/>
  <c r="E140" i="11"/>
  <c r="C140" i="11"/>
  <c r="C142" i="11" s="1"/>
  <c r="M136" i="11"/>
  <c r="I135" i="11"/>
  <c r="E135" i="11"/>
  <c r="C135" i="11"/>
  <c r="K134" i="11"/>
  <c r="K137" i="11" s="1"/>
  <c r="I134" i="11"/>
  <c r="G134" i="11"/>
  <c r="G137" i="11" s="1"/>
  <c r="E134" i="11"/>
  <c r="C134" i="11"/>
  <c r="K131" i="11"/>
  <c r="I131" i="11"/>
  <c r="G131" i="11"/>
  <c r="E131" i="11"/>
  <c r="K130" i="11"/>
  <c r="G130" i="11"/>
  <c r="E130" i="11"/>
  <c r="K129" i="11"/>
  <c r="I129" i="11"/>
  <c r="G129" i="11"/>
  <c r="C129" i="11"/>
  <c r="I128" i="11"/>
  <c r="G128" i="11"/>
  <c r="E128" i="11"/>
  <c r="K127" i="11"/>
  <c r="I127" i="11"/>
  <c r="G127" i="11"/>
  <c r="E127" i="11"/>
  <c r="K123" i="11"/>
  <c r="I123" i="11"/>
  <c r="G123" i="11"/>
  <c r="E123" i="11"/>
  <c r="E122" i="11"/>
  <c r="M121" i="11"/>
  <c r="M120" i="11"/>
  <c r="M119" i="11"/>
  <c r="M118" i="11"/>
  <c r="M117" i="11"/>
  <c r="E116" i="11"/>
  <c r="M116" i="11" s="1"/>
  <c r="M115" i="11"/>
  <c r="K114" i="11"/>
  <c r="M114" i="11" s="1"/>
  <c r="M113" i="11"/>
  <c r="I112" i="11"/>
  <c r="G112" i="11"/>
  <c r="E112" i="11"/>
  <c r="C112" i="11"/>
  <c r="K111" i="11"/>
  <c r="I111" i="11"/>
  <c r="M111" i="11" s="1"/>
  <c r="M110" i="11"/>
  <c r="K109" i="11"/>
  <c r="I109" i="11"/>
  <c r="G109" i="11"/>
  <c r="E109" i="11"/>
  <c r="C109" i="11"/>
  <c r="K108" i="11"/>
  <c r="I108" i="11"/>
  <c r="E108" i="11"/>
  <c r="C108" i="11"/>
  <c r="I107" i="11"/>
  <c r="G107" i="11"/>
  <c r="E107" i="11"/>
  <c r="I106" i="11"/>
  <c r="G106" i="11"/>
  <c r="M105" i="11"/>
  <c r="I104" i="11"/>
  <c r="G104" i="11"/>
  <c r="E104" i="11"/>
  <c r="I103" i="11"/>
  <c r="G103" i="11"/>
  <c r="E103" i="11"/>
  <c r="M102" i="11"/>
  <c r="G101" i="11"/>
  <c r="E101" i="11"/>
  <c r="I100" i="11"/>
  <c r="E100" i="11"/>
  <c r="I99" i="11"/>
  <c r="C99" i="11"/>
  <c r="M98" i="11"/>
  <c r="I97" i="11"/>
  <c r="G97" i="11"/>
  <c r="E97" i="11"/>
  <c r="I96" i="11"/>
  <c r="G96" i="11"/>
  <c r="E96" i="11"/>
  <c r="I95" i="11"/>
  <c r="G95" i="11"/>
  <c r="E95" i="11"/>
  <c r="C95" i="11"/>
  <c r="K94" i="11"/>
  <c r="I94" i="11"/>
  <c r="G94" i="11"/>
  <c r="E94" i="11"/>
  <c r="C94" i="11"/>
  <c r="I93" i="11"/>
  <c r="G93" i="11"/>
  <c r="E93" i="11"/>
  <c r="I92" i="11"/>
  <c r="G92" i="11"/>
  <c r="E92" i="11"/>
  <c r="C92" i="11"/>
  <c r="K91" i="11"/>
  <c r="I91" i="11"/>
  <c r="G91" i="11"/>
  <c r="E91" i="11"/>
  <c r="E125" i="11" s="1"/>
  <c r="C91" i="11"/>
  <c r="E88" i="11"/>
  <c r="M88" i="11" s="1"/>
  <c r="K87" i="11"/>
  <c r="K89" i="11" s="1"/>
  <c r="I87" i="11"/>
  <c r="G87" i="11"/>
  <c r="E87" i="11"/>
  <c r="C87" i="11"/>
  <c r="I86" i="11"/>
  <c r="G86" i="11"/>
  <c r="I85" i="11"/>
  <c r="G85" i="11"/>
  <c r="I84" i="11"/>
  <c r="E84" i="11"/>
  <c r="M81" i="11"/>
  <c r="M80" i="11"/>
  <c r="K78" i="11"/>
  <c r="I78" i="11"/>
  <c r="G78" i="11"/>
  <c r="E78" i="11"/>
  <c r="C78" i="11"/>
  <c r="K77" i="11"/>
  <c r="I77" i="11"/>
  <c r="G77" i="11"/>
  <c r="E77" i="11"/>
  <c r="C77" i="11"/>
  <c r="G75" i="11"/>
  <c r="E75" i="11"/>
  <c r="K74" i="11"/>
  <c r="K75" i="11" s="1"/>
  <c r="I74" i="11"/>
  <c r="I75" i="11" s="1"/>
  <c r="C74" i="11"/>
  <c r="K71" i="11"/>
  <c r="I71" i="11"/>
  <c r="K70" i="11"/>
  <c r="I70" i="11"/>
  <c r="G70" i="11"/>
  <c r="E70" i="11"/>
  <c r="E72" i="11" s="1"/>
  <c r="K69" i="11"/>
  <c r="I69" i="11"/>
  <c r="G69" i="11"/>
  <c r="G72" i="11" s="1"/>
  <c r="C69" i="11"/>
  <c r="C72" i="11" s="1"/>
  <c r="G67" i="11"/>
  <c r="K66" i="11"/>
  <c r="I66" i="11"/>
  <c r="E66" i="11"/>
  <c r="K65" i="11"/>
  <c r="I65" i="11"/>
  <c r="E65" i="11"/>
  <c r="K64" i="11"/>
  <c r="I64" i="11"/>
  <c r="E64" i="11"/>
  <c r="K63" i="11"/>
  <c r="I63" i="11"/>
  <c r="E63" i="11"/>
  <c r="K62" i="11"/>
  <c r="I62" i="11"/>
  <c r="E62" i="11"/>
  <c r="C62" i="11"/>
  <c r="K61" i="11"/>
  <c r="E61" i="11"/>
  <c r="C61" i="11"/>
  <c r="K57" i="11"/>
  <c r="I57" i="11"/>
  <c r="G57" i="11"/>
  <c r="G59" i="11" s="1"/>
  <c r="E57" i="11"/>
  <c r="C57" i="11"/>
  <c r="K56" i="11"/>
  <c r="I56" i="11"/>
  <c r="E56" i="11"/>
  <c r="E59" i="11" s="1"/>
  <c r="C56" i="11"/>
  <c r="E53" i="11"/>
  <c r="M53" i="11" s="1"/>
  <c r="K52" i="11"/>
  <c r="I52" i="11"/>
  <c r="G52" i="11"/>
  <c r="E52" i="11"/>
  <c r="C52" i="11"/>
  <c r="K51" i="11"/>
  <c r="I51" i="11"/>
  <c r="G51" i="11"/>
  <c r="K50" i="11"/>
  <c r="I50" i="11"/>
  <c r="G50" i="11"/>
  <c r="E50" i="11"/>
  <c r="C50" i="11"/>
  <c r="K49" i="11"/>
  <c r="I49" i="11"/>
  <c r="G49" i="11"/>
  <c r="E49" i="11"/>
  <c r="C49" i="11"/>
  <c r="I48" i="11"/>
  <c r="G48" i="11"/>
  <c r="E48" i="11"/>
  <c r="C48" i="11"/>
  <c r="K47" i="11"/>
  <c r="I47" i="11"/>
  <c r="G47" i="11"/>
  <c r="K46" i="11"/>
  <c r="I46" i="11"/>
  <c r="G46" i="11"/>
  <c r="E46" i="11"/>
  <c r="E45" i="11"/>
  <c r="C45" i="11"/>
  <c r="E44" i="11"/>
  <c r="C44" i="11"/>
  <c r="C43" i="11"/>
  <c r="M43" i="11" s="1"/>
  <c r="C42" i="11"/>
  <c r="M42" i="11" s="1"/>
  <c r="E41" i="11"/>
  <c r="C41" i="11"/>
  <c r="M41" i="11" s="1"/>
  <c r="K40" i="11"/>
  <c r="I40" i="11"/>
  <c r="G40" i="11"/>
  <c r="E40" i="11"/>
  <c r="C40" i="11"/>
  <c r="K39" i="11"/>
  <c r="I39" i="11"/>
  <c r="G39" i="11"/>
  <c r="E39" i="11"/>
  <c r="C39" i="11"/>
  <c r="K38" i="11"/>
  <c r="I38" i="11"/>
  <c r="K37" i="11"/>
  <c r="I37" i="11"/>
  <c r="G37" i="11"/>
  <c r="E37" i="11"/>
  <c r="C37" i="11"/>
  <c r="K36" i="11"/>
  <c r="I36" i="11"/>
  <c r="G36" i="11"/>
  <c r="E36" i="11"/>
  <c r="C36" i="11"/>
  <c r="K35" i="11"/>
  <c r="I35" i="11"/>
  <c r="G35" i="11"/>
  <c r="E35" i="11"/>
  <c r="C35" i="11"/>
  <c r="K34" i="11"/>
  <c r="I34" i="11"/>
  <c r="G34" i="11"/>
  <c r="E34" i="11"/>
  <c r="C34" i="11"/>
  <c r="K33" i="11"/>
  <c r="I33" i="11"/>
  <c r="G33" i="11"/>
  <c r="E33" i="11"/>
  <c r="C33" i="11"/>
  <c r="K32" i="11"/>
  <c r="I32" i="11"/>
  <c r="G32" i="11"/>
  <c r="E32" i="11"/>
  <c r="C32" i="11"/>
  <c r="K31" i="11"/>
  <c r="I31" i="11"/>
  <c r="G31" i="11"/>
  <c r="E31" i="11"/>
  <c r="C31" i="11"/>
  <c r="E30" i="11"/>
  <c r="M30" i="11" s="1"/>
  <c r="K29" i="11"/>
  <c r="I29" i="11"/>
  <c r="G29" i="11"/>
  <c r="E29" i="11"/>
  <c r="C29" i="11"/>
  <c r="K28" i="11"/>
  <c r="I28" i="11"/>
  <c r="G28" i="11"/>
  <c r="E28" i="11"/>
  <c r="C28" i="11"/>
  <c r="K27" i="11"/>
  <c r="I27" i="11"/>
  <c r="G27" i="11"/>
  <c r="E27" i="11"/>
  <c r="C27" i="11"/>
  <c r="K26" i="11"/>
  <c r="I26" i="11"/>
  <c r="E26" i="11"/>
  <c r="C26" i="11"/>
  <c r="K25" i="11"/>
  <c r="I25" i="11"/>
  <c r="G25" i="11"/>
  <c r="E25" i="11"/>
  <c r="C25" i="11"/>
  <c r="K24" i="11"/>
  <c r="I24" i="11"/>
  <c r="G24" i="11"/>
  <c r="E24" i="11"/>
  <c r="C24" i="11"/>
  <c r="K23" i="11"/>
  <c r="I23" i="11"/>
  <c r="G23" i="11"/>
  <c r="E23" i="11"/>
  <c r="C23" i="11"/>
  <c r="K22" i="11"/>
  <c r="I22" i="11"/>
  <c r="G22" i="11"/>
  <c r="E22" i="11"/>
  <c r="C22" i="11"/>
  <c r="K21" i="11"/>
  <c r="C21" i="11"/>
  <c r="K20" i="11"/>
  <c r="I20" i="11"/>
  <c r="G20" i="11"/>
  <c r="E20" i="11"/>
  <c r="C20" i="11"/>
  <c r="K19" i="11"/>
  <c r="I19" i="11"/>
  <c r="G19" i="11"/>
  <c r="E19" i="11"/>
  <c r="C19" i="11"/>
  <c r="K18" i="11"/>
  <c r="I18" i="11"/>
  <c r="G18" i="11"/>
  <c r="E18" i="11"/>
  <c r="C18" i="11"/>
  <c r="M14" i="11"/>
  <c r="E13" i="11"/>
  <c r="M13" i="11" s="1"/>
  <c r="K12" i="11"/>
  <c r="I12" i="11"/>
  <c r="G12" i="11"/>
  <c r="C12" i="11"/>
  <c r="K11" i="11"/>
  <c r="G11" i="11"/>
  <c r="E11" i="11"/>
  <c r="K10" i="11"/>
  <c r="I10" i="11"/>
  <c r="G10" i="11"/>
  <c r="E10" i="11"/>
  <c r="C10" i="11"/>
  <c r="C15" i="11" s="1"/>
  <c r="C6" i="11" s="1"/>
  <c r="E14" i="5"/>
  <c r="M14" i="5" s="1"/>
  <c r="E13" i="5"/>
  <c r="M13" i="5" s="1"/>
  <c r="E10" i="5"/>
  <c r="C151" i="5"/>
  <c r="C10" i="5"/>
  <c r="G168" i="5"/>
  <c r="M161" i="5"/>
  <c r="M162" i="5"/>
  <c r="I154" i="5"/>
  <c r="G154" i="5"/>
  <c r="E154" i="5"/>
  <c r="C154" i="5"/>
  <c r="G153" i="5"/>
  <c r="M153" i="5" s="1"/>
  <c r="M152" i="5"/>
  <c r="K151" i="5"/>
  <c r="K155" i="5" s="1"/>
  <c r="I151" i="5"/>
  <c r="I155" i="5" s="1"/>
  <c r="G151" i="5"/>
  <c r="E151" i="5"/>
  <c r="K10" i="5"/>
  <c r="K15" i="5" s="1"/>
  <c r="K6" i="5" s="1"/>
  <c r="K12" i="5"/>
  <c r="K11" i="5"/>
  <c r="K132" i="5"/>
  <c r="K135" i="5"/>
  <c r="K138" i="5" s="1"/>
  <c r="C39" i="5"/>
  <c r="C29" i="5"/>
  <c r="C27" i="5"/>
  <c r="C20" i="5"/>
  <c r="C25" i="5"/>
  <c r="C22" i="5"/>
  <c r="C40" i="5"/>
  <c r="C34" i="5"/>
  <c r="C18" i="5"/>
  <c r="C62" i="5"/>
  <c r="E62" i="5"/>
  <c r="C12" i="5"/>
  <c r="C15" i="5" s="1"/>
  <c r="C6" i="5" s="1"/>
  <c r="E12" i="5"/>
  <c r="E11" i="5"/>
  <c r="G11" i="5"/>
  <c r="M11" i="5" s="1"/>
  <c r="G12" i="5"/>
  <c r="I12" i="5"/>
  <c r="I15" i="5" s="1"/>
  <c r="I6" i="5" s="1"/>
  <c r="I10" i="5"/>
  <c r="K74" i="5"/>
  <c r="K75" i="5" s="1"/>
  <c r="I74" i="5"/>
  <c r="I75" i="5" s="1"/>
  <c r="G10" i="5"/>
  <c r="E95" i="5"/>
  <c r="C69" i="5"/>
  <c r="C72" i="5" s="1"/>
  <c r="D23" i="10"/>
  <c r="K23" i="10" s="1"/>
  <c r="K33" i="5"/>
  <c r="K40" i="5"/>
  <c r="K39" i="5"/>
  <c r="K34" i="5"/>
  <c r="K22" i="5"/>
  <c r="K24" i="5"/>
  <c r="K27" i="5"/>
  <c r="K31" i="5"/>
  <c r="K29" i="5"/>
  <c r="K28" i="5"/>
  <c r="K18" i="5"/>
  <c r="G75" i="5"/>
  <c r="E75" i="5"/>
  <c r="C74" i="5"/>
  <c r="C75" i="5" s="1"/>
  <c r="K71" i="5"/>
  <c r="I71" i="5"/>
  <c r="K69" i="5"/>
  <c r="I69" i="5"/>
  <c r="G69" i="5"/>
  <c r="K70" i="5"/>
  <c r="I70" i="5"/>
  <c r="G70" i="5"/>
  <c r="E70" i="5"/>
  <c r="I28" i="10"/>
  <c r="I9" i="10" s="1"/>
  <c r="I10" i="10" s="1"/>
  <c r="G28" i="10"/>
  <c r="G9" i="10" s="1"/>
  <c r="G10" i="10" s="1"/>
  <c r="K26" i="10"/>
  <c r="K25" i="10"/>
  <c r="K24" i="10"/>
  <c r="D22" i="10"/>
  <c r="K22" i="10" s="1"/>
  <c r="D21" i="10"/>
  <c r="K20" i="10"/>
  <c r="K19" i="10"/>
  <c r="K18" i="10"/>
  <c r="K17" i="10"/>
  <c r="K16" i="10"/>
  <c r="K15" i="10"/>
  <c r="K14" i="10"/>
  <c r="K13" i="10"/>
  <c r="K12" i="10"/>
  <c r="K11" i="10"/>
  <c r="K8" i="10"/>
  <c r="G67" i="5"/>
  <c r="K66" i="5"/>
  <c r="I66" i="5"/>
  <c r="E66" i="5"/>
  <c r="K65" i="5"/>
  <c r="I65" i="5"/>
  <c r="E65" i="5"/>
  <c r="K64" i="5"/>
  <c r="I64" i="5"/>
  <c r="E64" i="5"/>
  <c r="K63" i="5"/>
  <c r="I63" i="5"/>
  <c r="E63" i="5"/>
  <c r="K62" i="5"/>
  <c r="I62" i="5"/>
  <c r="K61" i="5"/>
  <c r="E61" i="5"/>
  <c r="C61" i="5"/>
  <c r="K149" i="5"/>
  <c r="M148" i="5"/>
  <c r="M141" i="5"/>
  <c r="M137" i="5"/>
  <c r="M97" i="5"/>
  <c r="M99" i="5"/>
  <c r="M100" i="5"/>
  <c r="M104" i="5"/>
  <c r="M107" i="5"/>
  <c r="M112" i="5"/>
  <c r="M115" i="5"/>
  <c r="M117" i="5"/>
  <c r="M120" i="5"/>
  <c r="M121" i="5"/>
  <c r="M122" i="5"/>
  <c r="M123" i="5"/>
  <c r="I101" i="5"/>
  <c r="M79" i="5"/>
  <c r="M80" i="5"/>
  <c r="M81" i="5"/>
  <c r="K56" i="5"/>
  <c r="K57" i="5"/>
  <c r="C50" i="5"/>
  <c r="C28" i="5"/>
  <c r="G28" i="5"/>
  <c r="C45" i="5"/>
  <c r="K125" i="5"/>
  <c r="I36" i="5"/>
  <c r="K38" i="5"/>
  <c r="K37" i="5"/>
  <c r="K49" i="5"/>
  <c r="K52" i="5"/>
  <c r="I39" i="5"/>
  <c r="I38" i="5"/>
  <c r="I40" i="5"/>
  <c r="I35" i="5"/>
  <c r="I49" i="5"/>
  <c r="I52" i="5"/>
  <c r="I33" i="5"/>
  <c r="I51" i="5"/>
  <c r="I37" i="5"/>
  <c r="I34" i="5"/>
  <c r="I50" i="5"/>
  <c r="I48" i="5"/>
  <c r="I22" i="5"/>
  <c r="I26" i="5"/>
  <c r="I25" i="5"/>
  <c r="I24" i="5"/>
  <c r="I28" i="5"/>
  <c r="I27" i="5"/>
  <c r="I29" i="5"/>
  <c r="I32" i="5"/>
  <c r="I31" i="5"/>
  <c r="I18" i="5"/>
  <c r="I20" i="5"/>
  <c r="I23" i="5"/>
  <c r="I78" i="5"/>
  <c r="I77" i="5"/>
  <c r="I85" i="5"/>
  <c r="I86" i="5"/>
  <c r="I128" i="5"/>
  <c r="I84" i="5"/>
  <c r="I142" i="5"/>
  <c r="I140" i="5"/>
  <c r="I129" i="5"/>
  <c r="I130" i="5"/>
  <c r="I92" i="5"/>
  <c r="I91" i="5"/>
  <c r="I136" i="5"/>
  <c r="I108" i="5"/>
  <c r="I160" i="5"/>
  <c r="I167" i="5"/>
  <c r="M167" i="5" s="1"/>
  <c r="I113" i="5"/>
  <c r="I46" i="5"/>
  <c r="I125" i="5"/>
  <c r="I145" i="5"/>
  <c r="I106" i="5"/>
  <c r="I96" i="5"/>
  <c r="I98" i="5"/>
  <c r="I11" i="8"/>
  <c r="I10" i="8"/>
  <c r="I9" i="8"/>
  <c r="I12" i="8"/>
  <c r="I87" i="5"/>
  <c r="I8" i="8"/>
  <c r="I57" i="5"/>
  <c r="I132" i="5"/>
  <c r="I135" i="5"/>
  <c r="I146" i="5"/>
  <c r="I110" i="5"/>
  <c r="I94" i="5"/>
  <c r="I56" i="5"/>
  <c r="I147" i="5"/>
  <c r="I111" i="5"/>
  <c r="I109" i="5"/>
  <c r="I114" i="5"/>
  <c r="I93" i="5"/>
  <c r="I95" i="5"/>
  <c r="I47" i="5"/>
  <c r="I105" i="5"/>
  <c r="I19" i="5"/>
  <c r="G20" i="5"/>
  <c r="I102" i="5"/>
  <c r="G140" i="5"/>
  <c r="G143" i="5" s="1"/>
  <c r="G48" i="5"/>
  <c r="G33" i="5"/>
  <c r="G37" i="5"/>
  <c r="G39" i="5"/>
  <c r="G40" i="5"/>
  <c r="G35" i="5"/>
  <c r="G34" i="5"/>
  <c r="G32" i="5"/>
  <c r="G18" i="5"/>
  <c r="G25" i="5"/>
  <c r="G24" i="5"/>
  <c r="G27" i="5"/>
  <c r="G22" i="5"/>
  <c r="G31" i="5"/>
  <c r="G29" i="5"/>
  <c r="G51" i="5"/>
  <c r="G52" i="5"/>
  <c r="G49" i="5"/>
  <c r="G36" i="5"/>
  <c r="G50" i="5"/>
  <c r="G23" i="5"/>
  <c r="G128" i="5"/>
  <c r="G98" i="5"/>
  <c r="G106" i="5"/>
  <c r="G135" i="5"/>
  <c r="G138" i="5" s="1"/>
  <c r="G131" i="5"/>
  <c r="G129" i="5"/>
  <c r="G146" i="5"/>
  <c r="G96" i="5"/>
  <c r="G132" i="5"/>
  <c r="G103" i="5"/>
  <c r="G109" i="5"/>
  <c r="G78" i="5"/>
  <c r="G111" i="5"/>
  <c r="G94" i="5"/>
  <c r="G147" i="5"/>
  <c r="G87" i="5"/>
  <c r="G125" i="5"/>
  <c r="G19" i="5"/>
  <c r="G46" i="5"/>
  <c r="G47" i="5"/>
  <c r="G114" i="5"/>
  <c r="G57" i="5"/>
  <c r="G59" i="5" s="1"/>
  <c r="G108" i="5"/>
  <c r="G93" i="5"/>
  <c r="G95" i="5"/>
  <c r="G105" i="5"/>
  <c r="G77" i="5"/>
  <c r="G130" i="5"/>
  <c r="G92" i="5"/>
  <c r="G85" i="5"/>
  <c r="G86" i="5"/>
  <c r="G91" i="5"/>
  <c r="E22" i="5"/>
  <c r="E24" i="5"/>
  <c r="E48" i="5"/>
  <c r="E27" i="5"/>
  <c r="E29" i="5"/>
  <c r="E30" i="5"/>
  <c r="M30" i="5" s="1"/>
  <c r="E18" i="5"/>
  <c r="E50" i="5"/>
  <c r="E34" i="5"/>
  <c r="E39" i="5"/>
  <c r="E40" i="5"/>
  <c r="E53" i="5"/>
  <c r="M53" i="5" s="1"/>
  <c r="E45" i="5"/>
  <c r="E36" i="5"/>
  <c r="E44" i="5"/>
  <c r="E49" i="5"/>
  <c r="E33" i="5"/>
  <c r="E37" i="5"/>
  <c r="E35" i="5"/>
  <c r="E25" i="5"/>
  <c r="E19" i="5"/>
  <c r="E23" i="5"/>
  <c r="E20" i="5"/>
  <c r="E32" i="5"/>
  <c r="E31" i="5"/>
  <c r="E28" i="5"/>
  <c r="E10" i="8"/>
  <c r="E11" i="8"/>
  <c r="E12" i="8"/>
  <c r="E9" i="8"/>
  <c r="O9" i="8" s="1"/>
  <c r="E7" i="8"/>
  <c r="E15" i="8" s="1"/>
  <c r="E8" i="8"/>
  <c r="E140" i="5"/>
  <c r="E102" i="5"/>
  <c r="E88" i="5"/>
  <c r="M88" i="5" s="1"/>
  <c r="E56" i="5"/>
  <c r="E92" i="5"/>
  <c r="E146" i="5"/>
  <c r="E132" i="5"/>
  <c r="E131" i="5"/>
  <c r="E129" i="5"/>
  <c r="E103" i="5"/>
  <c r="E110" i="5"/>
  <c r="E135" i="5"/>
  <c r="E106" i="5"/>
  <c r="E142" i="5"/>
  <c r="E145" i="5"/>
  <c r="E128" i="5"/>
  <c r="E136" i="5"/>
  <c r="E109" i="5"/>
  <c r="E98" i="5"/>
  <c r="E96" i="5"/>
  <c r="E118" i="5"/>
  <c r="M118" i="5" s="1"/>
  <c r="E87" i="5"/>
  <c r="E84" i="5"/>
  <c r="E94" i="5"/>
  <c r="E111" i="5"/>
  <c r="E125" i="5"/>
  <c r="E114" i="5"/>
  <c r="E41" i="5"/>
  <c r="E57" i="5"/>
  <c r="E52" i="5"/>
  <c r="E93" i="5"/>
  <c r="E105" i="5"/>
  <c r="E147" i="5"/>
  <c r="E91" i="5"/>
  <c r="E46" i="5"/>
  <c r="E166" i="5"/>
  <c r="M166" i="5" s="1"/>
  <c r="E165" i="5"/>
  <c r="E26" i="5"/>
  <c r="E77" i="5"/>
  <c r="E78" i="5"/>
  <c r="E124" i="5"/>
  <c r="C37" i="5"/>
  <c r="C44" i="5"/>
  <c r="C33" i="5"/>
  <c r="C57" i="5"/>
  <c r="C91" i="5"/>
  <c r="C35" i="5"/>
  <c r="C31" i="5"/>
  <c r="C26" i="5"/>
  <c r="C32" i="5"/>
  <c r="C24" i="5"/>
  <c r="C42" i="5"/>
  <c r="M42" i="5" s="1"/>
  <c r="C52" i="5"/>
  <c r="C49" i="5"/>
  <c r="C48" i="5"/>
  <c r="C36" i="5"/>
  <c r="C21" i="5"/>
  <c r="C19" i="5"/>
  <c r="C23" i="5"/>
  <c r="C56" i="5"/>
  <c r="C87" i="5"/>
  <c r="C163" i="5"/>
  <c r="M163" i="5" s="1"/>
  <c r="D21" i="1"/>
  <c r="C43" i="5"/>
  <c r="M43" i="5" s="1"/>
  <c r="D22" i="1"/>
  <c r="C147" i="5"/>
  <c r="C95" i="5"/>
  <c r="C164" i="5"/>
  <c r="M164" i="5" s="1"/>
  <c r="K50" i="5"/>
  <c r="C146" i="5"/>
  <c r="C111" i="5"/>
  <c r="C94" i="5"/>
  <c r="C101" i="5"/>
  <c r="C114" i="5"/>
  <c r="C41" i="5"/>
  <c r="C110" i="5"/>
  <c r="C136" i="5"/>
  <c r="C135" i="5"/>
  <c r="C77" i="5"/>
  <c r="C130" i="5"/>
  <c r="C140" i="5"/>
  <c r="C143" i="5" s="1"/>
  <c r="C92" i="5"/>
  <c r="C165" i="5"/>
  <c r="C78" i="5"/>
  <c r="C7" i="8"/>
  <c r="C7" i="9"/>
  <c r="O7" i="9" s="1"/>
  <c r="M15" i="9"/>
  <c r="K15" i="9"/>
  <c r="I15" i="9"/>
  <c r="G15" i="9"/>
  <c r="E15" i="9"/>
  <c r="O13" i="9"/>
  <c r="O12" i="9"/>
  <c r="O11" i="9"/>
  <c r="O10" i="9"/>
  <c r="O9" i="9"/>
  <c r="O8" i="9"/>
  <c r="K12" i="8"/>
  <c r="O12" i="8" s="1"/>
  <c r="K11" i="8"/>
  <c r="K10" i="8"/>
  <c r="K9" i="8"/>
  <c r="K8" i="8"/>
  <c r="O8" i="8" s="1"/>
  <c r="K7" i="8"/>
  <c r="M15" i="8"/>
  <c r="G15" i="8"/>
  <c r="C15" i="8"/>
  <c r="O13" i="8"/>
  <c r="K32" i="5"/>
  <c r="K36" i="5"/>
  <c r="K35" i="5"/>
  <c r="K51" i="5"/>
  <c r="L35" i="4"/>
  <c r="L34" i="4"/>
  <c r="L33" i="4"/>
  <c r="L44" i="4"/>
  <c r="L43" i="4"/>
  <c r="L42" i="4"/>
  <c r="L39" i="4"/>
  <c r="L38" i="4"/>
  <c r="L37" i="4"/>
  <c r="K160" i="5"/>
  <c r="K168" i="5" s="1"/>
  <c r="K77" i="5"/>
  <c r="K46" i="5"/>
  <c r="K47" i="5"/>
  <c r="K20" i="5"/>
  <c r="K25" i="5"/>
  <c r="K26" i="5"/>
  <c r="K21" i="5"/>
  <c r="K19" i="5"/>
  <c r="K23" i="5"/>
  <c r="K91" i="5"/>
  <c r="K94" i="5"/>
  <c r="K116" i="5"/>
  <c r="M116" i="5" s="1"/>
  <c r="K78" i="5"/>
  <c r="L46" i="6"/>
  <c r="K131" i="5"/>
  <c r="K129" i="5"/>
  <c r="K110" i="5"/>
  <c r="K142" i="5"/>
  <c r="K130" i="5"/>
  <c r="K140" i="5"/>
  <c r="K113" i="5"/>
  <c r="K87" i="5"/>
  <c r="K89" i="5" s="1"/>
  <c r="L41" i="6"/>
  <c r="K111" i="5"/>
  <c r="K128" i="5"/>
  <c r="L32" i="6"/>
  <c r="L36" i="6"/>
  <c r="J36" i="6"/>
  <c r="J31" i="6" s="1"/>
  <c r="J32" i="6" s="1"/>
  <c r="H52" i="6"/>
  <c r="H31" i="6" s="1"/>
  <c r="H32" i="6" s="1"/>
  <c r="F52" i="6"/>
  <c r="F31" i="6" s="1"/>
  <c r="F32" i="6" s="1"/>
  <c r="D52" i="6"/>
  <c r="D31" i="6" s="1"/>
  <c r="D32" i="6" s="1"/>
  <c r="AF24" i="6"/>
  <c r="AD24" i="6"/>
  <c r="AB24" i="6"/>
  <c r="Z24" i="6"/>
  <c r="X24" i="6"/>
  <c r="V24" i="6"/>
  <c r="T24" i="6"/>
  <c r="R24" i="6"/>
  <c r="P24" i="6"/>
  <c r="N24" i="6"/>
  <c r="L24" i="6"/>
  <c r="J24" i="6"/>
  <c r="H24" i="6"/>
  <c r="F24" i="6"/>
  <c r="D24" i="6"/>
  <c r="A24" i="6"/>
  <c r="AH22" i="6"/>
  <c r="AH21" i="6"/>
  <c r="AH20" i="6"/>
  <c r="AH19" i="6"/>
  <c r="AH18" i="6"/>
  <c r="AH17" i="6"/>
  <c r="AH16" i="6"/>
  <c r="AH15" i="6"/>
  <c r="AH14" i="6"/>
  <c r="AH13" i="6"/>
  <c r="AH12" i="6"/>
  <c r="AH11" i="6"/>
  <c r="AF10" i="6"/>
  <c r="AD10" i="6"/>
  <c r="AB10" i="6"/>
  <c r="Z10" i="6"/>
  <c r="X10" i="6"/>
  <c r="V10" i="6"/>
  <c r="T10" i="6"/>
  <c r="R10" i="6"/>
  <c r="P10" i="6"/>
  <c r="N10" i="6"/>
  <c r="L10" i="6"/>
  <c r="J10" i="6"/>
  <c r="H10" i="6"/>
  <c r="F10" i="6"/>
  <c r="D9" i="6"/>
  <c r="AH9" i="6" s="1"/>
  <c r="AH8" i="6"/>
  <c r="K124" i="5"/>
  <c r="K119" i="5"/>
  <c r="M119" i="5" s="1"/>
  <c r="C155" i="16" l="1"/>
  <c r="M71" i="13"/>
  <c r="K16" i="14"/>
  <c r="M51" i="14"/>
  <c r="M52" i="14"/>
  <c r="K60" i="14"/>
  <c r="M12" i="16"/>
  <c r="E55" i="16"/>
  <c r="M23" i="16"/>
  <c r="M27" i="16"/>
  <c r="M34" i="16"/>
  <c r="M39" i="16"/>
  <c r="M42" i="16"/>
  <c r="M48" i="16"/>
  <c r="I60" i="16"/>
  <c r="M80" i="16"/>
  <c r="E168" i="16"/>
  <c r="I81" i="21"/>
  <c r="C157" i="21"/>
  <c r="I157" i="21" s="1"/>
  <c r="AB20" i="25"/>
  <c r="M101" i="5"/>
  <c r="M131" i="13"/>
  <c r="M134" i="13"/>
  <c r="E90" i="16"/>
  <c r="M101" i="16"/>
  <c r="M107" i="16"/>
  <c r="E155" i="16"/>
  <c r="M155" i="16" s="1"/>
  <c r="G13" i="19"/>
  <c r="I43" i="21"/>
  <c r="E85" i="21"/>
  <c r="N24" i="22"/>
  <c r="N9" i="22" s="1"/>
  <c r="N10" i="22" s="1"/>
  <c r="AB17" i="25"/>
  <c r="F52" i="25"/>
  <c r="F30" i="25" s="1"/>
  <c r="F31" i="25" s="1"/>
  <c r="M100" i="13"/>
  <c r="M35" i="14"/>
  <c r="C15" i="9"/>
  <c r="G15" i="5"/>
  <c r="G6" i="5" s="1"/>
  <c r="M12" i="5"/>
  <c r="M10" i="5"/>
  <c r="M15" i="5" s="1"/>
  <c r="E15" i="5"/>
  <c r="E6" i="5" s="1"/>
  <c r="O42" i="12"/>
  <c r="E15" i="13"/>
  <c r="E6" i="13" s="1"/>
  <c r="M11" i="13"/>
  <c r="G54" i="13"/>
  <c r="M20" i="13"/>
  <c r="M28" i="13"/>
  <c r="M32" i="13"/>
  <c r="M36" i="13"/>
  <c r="K72" i="13"/>
  <c r="K82" i="13"/>
  <c r="M30" i="14"/>
  <c r="M66" i="14"/>
  <c r="M105" i="14"/>
  <c r="M107" i="14"/>
  <c r="G16" i="16"/>
  <c r="G6" i="16" s="1"/>
  <c r="M70" i="16"/>
  <c r="M71" i="16"/>
  <c r="M72" i="16"/>
  <c r="M87" i="16"/>
  <c r="I126" i="16"/>
  <c r="M104" i="16"/>
  <c r="M109" i="16"/>
  <c r="M125" i="16"/>
  <c r="M128" i="16"/>
  <c r="M130" i="16"/>
  <c r="M131" i="16"/>
  <c r="E138" i="16"/>
  <c r="M138" i="16" s="1"/>
  <c r="M136" i="16"/>
  <c r="I149" i="16"/>
  <c r="I33" i="21"/>
  <c r="I39" i="21"/>
  <c r="I67" i="21"/>
  <c r="E75" i="21"/>
  <c r="I97" i="21"/>
  <c r="I132" i="21"/>
  <c r="C151" i="21"/>
  <c r="I151" i="21" s="1"/>
  <c r="AB16" i="27"/>
  <c r="I137" i="11"/>
  <c r="M112" i="13"/>
  <c r="M23" i="14"/>
  <c r="M26" i="14"/>
  <c r="M27" i="14"/>
  <c r="G133" i="14"/>
  <c r="M147" i="16"/>
  <c r="M151" i="13"/>
  <c r="E155" i="13"/>
  <c r="G155" i="14"/>
  <c r="M155" i="14" s="1"/>
  <c r="I72" i="11"/>
  <c r="I125" i="11"/>
  <c r="M131" i="11"/>
  <c r="M134" i="11"/>
  <c r="I142" i="11"/>
  <c r="K46" i="12"/>
  <c r="M41" i="13"/>
  <c r="M47" i="13"/>
  <c r="M51" i="13"/>
  <c r="K59" i="13"/>
  <c r="K67" i="13"/>
  <c r="M64" i="13"/>
  <c r="I72" i="13"/>
  <c r="M107" i="13"/>
  <c r="M67" i="14"/>
  <c r="M70" i="14"/>
  <c r="E126" i="14"/>
  <c r="M93" i="14"/>
  <c r="M94" i="14"/>
  <c r="M96" i="14"/>
  <c r="I155" i="14"/>
  <c r="M80" i="14"/>
  <c r="I55" i="16"/>
  <c r="M29" i="16"/>
  <c r="K73" i="16"/>
  <c r="C168" i="16"/>
  <c r="I24" i="21"/>
  <c r="I42" i="21"/>
  <c r="C145" i="21"/>
  <c r="I145" i="21" s="1"/>
  <c r="I41" i="21"/>
  <c r="M47" i="23"/>
  <c r="AB16" i="25"/>
  <c r="J52" i="25"/>
  <c r="J30" i="25" s="1"/>
  <c r="J31" i="25" s="1"/>
  <c r="AB19" i="27"/>
  <c r="D28" i="10"/>
  <c r="M45" i="11"/>
  <c r="M56" i="11"/>
  <c r="M57" i="11"/>
  <c r="M22" i="13"/>
  <c r="C82" i="13"/>
  <c r="M109" i="13"/>
  <c r="M127" i="13"/>
  <c r="M128" i="13"/>
  <c r="M129" i="13"/>
  <c r="M130" i="13"/>
  <c r="M165" i="13"/>
  <c r="M14" i="14"/>
  <c r="C55" i="14"/>
  <c r="K55" i="14"/>
  <c r="M97" i="14"/>
  <c r="M142" i="14"/>
  <c r="C149" i="14"/>
  <c r="M154" i="14"/>
  <c r="M160" i="14"/>
  <c r="C168" i="14"/>
  <c r="E168" i="14"/>
  <c r="M15" i="14"/>
  <c r="K16" i="16"/>
  <c r="K6" i="16" s="1"/>
  <c r="I15" i="21"/>
  <c r="I27" i="21"/>
  <c r="I50" i="21"/>
  <c r="C62" i="21"/>
  <c r="E70" i="21"/>
  <c r="O7" i="8"/>
  <c r="I15" i="8"/>
  <c r="M39" i="13"/>
  <c r="M48" i="13"/>
  <c r="M49" i="13"/>
  <c r="M66" i="13"/>
  <c r="M69" i="13"/>
  <c r="M70" i="13"/>
  <c r="G89" i="13"/>
  <c r="M92" i="13"/>
  <c r="M93" i="13"/>
  <c r="M95" i="13"/>
  <c r="M97" i="13"/>
  <c r="M28" i="14"/>
  <c r="I68" i="14"/>
  <c r="M38" i="16"/>
  <c r="M47" i="16"/>
  <c r="M50" i="16"/>
  <c r="E68" i="16"/>
  <c r="I68" i="16"/>
  <c r="M67" i="16"/>
  <c r="G83" i="16"/>
  <c r="M98" i="16"/>
  <c r="M163" i="16"/>
  <c r="I11" i="21"/>
  <c r="I13" i="21"/>
  <c r="I21" i="21"/>
  <c r="I34" i="21"/>
  <c r="I55" i="21"/>
  <c r="E62" i="21"/>
  <c r="I111" i="21"/>
  <c r="L24" i="22"/>
  <c r="L9" i="22" s="1"/>
  <c r="L10" i="22" s="1"/>
  <c r="X24" i="22"/>
  <c r="X9" i="22" s="1"/>
  <c r="X10" i="22" s="1"/>
  <c r="L57" i="27"/>
  <c r="F105" i="27"/>
  <c r="F30" i="27" s="1"/>
  <c r="F31" i="27" s="1"/>
  <c r="M85" i="11"/>
  <c r="M18" i="13"/>
  <c r="M24" i="13"/>
  <c r="M34" i="13"/>
  <c r="M38" i="13"/>
  <c r="G82" i="13"/>
  <c r="M78" i="13"/>
  <c r="M79" i="13"/>
  <c r="M104" i="13"/>
  <c r="M142" i="13"/>
  <c r="E149" i="13"/>
  <c r="I155" i="13"/>
  <c r="M154" i="13"/>
  <c r="M160" i="13"/>
  <c r="I16" i="14"/>
  <c r="I6" i="14" s="1"/>
  <c r="G55" i="14"/>
  <c r="M21" i="14"/>
  <c r="M49" i="14"/>
  <c r="M50" i="14"/>
  <c r="M65" i="14"/>
  <c r="I73" i="14"/>
  <c r="M75" i="14"/>
  <c r="I83" i="14"/>
  <c r="I126" i="14"/>
  <c r="M104" i="14"/>
  <c r="M109" i="14"/>
  <c r="M124" i="14"/>
  <c r="M125" i="14"/>
  <c r="K133" i="14"/>
  <c r="M132" i="14"/>
  <c r="C138" i="14"/>
  <c r="I143" i="14"/>
  <c r="E149" i="14"/>
  <c r="G149" i="14"/>
  <c r="C155" i="14"/>
  <c r="M11" i="16"/>
  <c r="M14" i="16"/>
  <c r="M15" i="16"/>
  <c r="M53" i="16"/>
  <c r="I73" i="16"/>
  <c r="M92" i="16"/>
  <c r="M93" i="16"/>
  <c r="M94" i="16"/>
  <c r="M96" i="16"/>
  <c r="M97" i="16"/>
  <c r="M112" i="16"/>
  <c r="M123" i="16"/>
  <c r="I72" i="21"/>
  <c r="I74" i="21"/>
  <c r="I77" i="21"/>
  <c r="C140" i="21"/>
  <c r="AB19" i="25"/>
  <c r="O11" i="8"/>
  <c r="M12" i="14"/>
  <c r="M24" i="14"/>
  <c r="M25" i="14"/>
  <c r="M33" i="14"/>
  <c r="M53" i="14"/>
  <c r="M63" i="14"/>
  <c r="M64" i="14"/>
  <c r="M85" i="14"/>
  <c r="M102" i="14"/>
  <c r="M108" i="14"/>
  <c r="E155" i="14"/>
  <c r="M21" i="16"/>
  <c r="M25" i="16"/>
  <c r="M32" i="16"/>
  <c r="M36" i="16"/>
  <c r="M40" i="16"/>
  <c r="M46" i="16"/>
  <c r="M52" i="16"/>
  <c r="M57" i="16"/>
  <c r="M63" i="16"/>
  <c r="M65" i="16"/>
  <c r="C83" i="16"/>
  <c r="K83" i="16"/>
  <c r="I134" i="21"/>
  <c r="L24" i="25"/>
  <c r="L9" i="25" s="1"/>
  <c r="L10" i="25" s="1"/>
  <c r="AB13" i="25"/>
  <c r="L93" i="27"/>
  <c r="K15" i="8"/>
  <c r="M93" i="11"/>
  <c r="E59" i="13"/>
  <c r="E72" i="13"/>
  <c r="M74" i="13"/>
  <c r="C155" i="13"/>
  <c r="E90" i="14"/>
  <c r="C16" i="14"/>
  <c r="C6" i="14" s="1"/>
  <c r="I153" i="21"/>
  <c r="I162" i="21"/>
  <c r="M52" i="23"/>
  <c r="AB15" i="22"/>
  <c r="AB19" i="22"/>
  <c r="L84" i="27"/>
  <c r="AH24" i="6"/>
  <c r="O10" i="8"/>
  <c r="G155" i="5"/>
  <c r="I15" i="11"/>
  <c r="I6" i="11" s="1"/>
  <c r="I54" i="11"/>
  <c r="M20" i="11"/>
  <c r="M21" i="11"/>
  <c r="M28" i="11"/>
  <c r="M29" i="11"/>
  <c r="M33" i="11"/>
  <c r="M38" i="11"/>
  <c r="M40" i="11"/>
  <c r="K67" i="11"/>
  <c r="M64" i="11"/>
  <c r="C125" i="11"/>
  <c r="G125" i="11"/>
  <c r="K125" i="11"/>
  <c r="M10" i="13"/>
  <c r="K15" i="13"/>
  <c r="K6" i="13" s="1"/>
  <c r="M12" i="13"/>
  <c r="E54" i="13"/>
  <c r="I54" i="13"/>
  <c r="M19" i="13"/>
  <c r="K54" i="13"/>
  <c r="M21" i="13"/>
  <c r="M23" i="13"/>
  <c r="M25" i="13"/>
  <c r="M26" i="13"/>
  <c r="M27" i="13"/>
  <c r="M84" i="13"/>
  <c r="E125" i="13"/>
  <c r="I125" i="13"/>
  <c r="M111" i="13"/>
  <c r="I132" i="13"/>
  <c r="E137" i="13"/>
  <c r="M145" i="13"/>
  <c r="G155" i="13"/>
  <c r="C168" i="13"/>
  <c r="K6" i="14"/>
  <c r="M22" i="14"/>
  <c r="E68" i="14"/>
  <c r="M101" i="14"/>
  <c r="G16" i="14"/>
  <c r="G6" i="14" s="1"/>
  <c r="C16" i="16"/>
  <c r="C6" i="16" s="1"/>
  <c r="C60" i="16"/>
  <c r="C73" i="16"/>
  <c r="I90" i="16"/>
  <c r="M90" i="16" s="1"/>
  <c r="E133" i="16"/>
  <c r="I133" i="16"/>
  <c r="I31" i="21"/>
  <c r="I38" i="21"/>
  <c r="I52" i="21"/>
  <c r="I66" i="21"/>
  <c r="I80" i="21"/>
  <c r="I90" i="21"/>
  <c r="C128" i="21"/>
  <c r="I114" i="21"/>
  <c r="I127" i="21"/>
  <c r="E135" i="21"/>
  <c r="H24" i="22"/>
  <c r="H9" i="22" s="1"/>
  <c r="H10" i="22" s="1"/>
  <c r="AB12" i="22"/>
  <c r="AB15" i="25"/>
  <c r="M29" i="13"/>
  <c r="M31" i="13"/>
  <c r="M33" i="13"/>
  <c r="M35" i="13"/>
  <c r="M37" i="13"/>
  <c r="M40" i="13"/>
  <c r="M44" i="13"/>
  <c r="M45" i="13"/>
  <c r="M46" i="13"/>
  <c r="M50" i="13"/>
  <c r="M52" i="13"/>
  <c r="I59" i="13"/>
  <c r="E67" i="13"/>
  <c r="M67" i="13" s="1"/>
  <c r="M62" i="13"/>
  <c r="I67" i="13"/>
  <c r="M63" i="13"/>
  <c r="M65" i="13"/>
  <c r="M75" i="13"/>
  <c r="E82" i="13"/>
  <c r="I82" i="13"/>
  <c r="I89" i="13"/>
  <c r="M87" i="13"/>
  <c r="M94" i="13"/>
  <c r="G125" i="13"/>
  <c r="K125" i="13"/>
  <c r="M96" i="13"/>
  <c r="M99" i="13"/>
  <c r="M103" i="13"/>
  <c r="M106" i="13"/>
  <c r="M108" i="13"/>
  <c r="M123" i="13"/>
  <c r="M124" i="13"/>
  <c r="G132" i="13"/>
  <c r="K132" i="13"/>
  <c r="M135" i="13"/>
  <c r="I137" i="13"/>
  <c r="E143" i="13"/>
  <c r="M143" i="13" s="1"/>
  <c r="I149" i="13"/>
  <c r="M146" i="13"/>
  <c r="M147" i="13"/>
  <c r="G149" i="13"/>
  <c r="E168" i="13"/>
  <c r="M11" i="14"/>
  <c r="E55" i="14"/>
  <c r="I55" i="14"/>
  <c r="M20" i="14"/>
  <c r="M29" i="14"/>
  <c r="M32" i="14"/>
  <c r="M34" i="14"/>
  <c r="M36" i="14"/>
  <c r="M37" i="14"/>
  <c r="M38" i="14"/>
  <c r="M40" i="14"/>
  <c r="M41" i="14"/>
  <c r="M46" i="14"/>
  <c r="M47" i="14"/>
  <c r="M48" i="14"/>
  <c r="I60" i="14"/>
  <c r="M58" i="14"/>
  <c r="C68" i="14"/>
  <c r="K68" i="14"/>
  <c r="K73" i="14"/>
  <c r="M78" i="14"/>
  <c r="G83" i="14"/>
  <c r="K83" i="14"/>
  <c r="K170" i="14" s="1"/>
  <c r="M79" i="14"/>
  <c r="I90" i="14"/>
  <c r="M86" i="14"/>
  <c r="M87" i="14"/>
  <c r="M92" i="14"/>
  <c r="G126" i="14"/>
  <c r="K126" i="14"/>
  <c r="M95" i="14"/>
  <c r="M98" i="14"/>
  <c r="M100" i="14"/>
  <c r="M110" i="14"/>
  <c r="M113" i="14"/>
  <c r="E133" i="14"/>
  <c r="I133" i="14"/>
  <c r="M129" i="14"/>
  <c r="M130" i="14"/>
  <c r="M131" i="14"/>
  <c r="E138" i="14"/>
  <c r="M136" i="14"/>
  <c r="I149" i="14"/>
  <c r="M149" i="14" s="1"/>
  <c r="M147" i="14"/>
  <c r="M165" i="14"/>
  <c r="E16" i="14"/>
  <c r="E16" i="16"/>
  <c r="E6" i="16" s="1"/>
  <c r="I16" i="16"/>
  <c r="I6" i="16" s="1"/>
  <c r="C55" i="16"/>
  <c r="G55" i="16"/>
  <c r="K55" i="16"/>
  <c r="M20" i="16"/>
  <c r="M24" i="16"/>
  <c r="M26" i="16"/>
  <c r="M28" i="16"/>
  <c r="M30" i="16"/>
  <c r="M33" i="16"/>
  <c r="M35" i="16"/>
  <c r="M37" i="16"/>
  <c r="M41" i="16"/>
  <c r="M45" i="16"/>
  <c r="M49" i="16"/>
  <c r="M51" i="16"/>
  <c r="K60" i="16"/>
  <c r="M62" i="16"/>
  <c r="K68" i="16"/>
  <c r="M64" i="16"/>
  <c r="M66" i="16"/>
  <c r="E83" i="16"/>
  <c r="I83" i="16"/>
  <c r="M79" i="16"/>
  <c r="G90" i="16"/>
  <c r="M88" i="16"/>
  <c r="C126" i="16"/>
  <c r="G126" i="16"/>
  <c r="G157" i="16" s="1"/>
  <c r="G7" i="16" s="1"/>
  <c r="G8" i="16" s="1"/>
  <c r="K126" i="16"/>
  <c r="M95" i="16"/>
  <c r="M100" i="16"/>
  <c r="M102" i="16"/>
  <c r="M105" i="16"/>
  <c r="M108" i="16"/>
  <c r="M110" i="16"/>
  <c r="M113" i="16"/>
  <c r="M124" i="16"/>
  <c r="G133" i="16"/>
  <c r="K133" i="16"/>
  <c r="M132" i="16"/>
  <c r="E143" i="16"/>
  <c r="M143" i="16" s="1"/>
  <c r="M142" i="16"/>
  <c r="E149" i="16"/>
  <c r="C149" i="16"/>
  <c r="G149" i="16"/>
  <c r="M154" i="16"/>
  <c r="M160" i="16"/>
  <c r="M165" i="16"/>
  <c r="M12" i="19"/>
  <c r="C17" i="21"/>
  <c r="G17" i="21"/>
  <c r="G6" i="21" s="1"/>
  <c r="E57" i="21"/>
  <c r="I22" i="21"/>
  <c r="I25" i="21"/>
  <c r="I26" i="21"/>
  <c r="I29" i="21"/>
  <c r="I30" i="21"/>
  <c r="I35" i="21"/>
  <c r="I36" i="21"/>
  <c r="I37" i="21"/>
  <c r="I65" i="21"/>
  <c r="I68" i="21"/>
  <c r="I69" i="21"/>
  <c r="C85" i="21"/>
  <c r="I85" i="21" s="1"/>
  <c r="I94" i="21"/>
  <c r="C135" i="21"/>
  <c r="I131" i="21"/>
  <c r="I137" i="21"/>
  <c r="I148" i="21"/>
  <c r="I53" i="21"/>
  <c r="M49" i="23"/>
  <c r="T24" i="25"/>
  <c r="T9" i="25" s="1"/>
  <c r="T10" i="25" s="1"/>
  <c r="AB12" i="25"/>
  <c r="N24" i="25"/>
  <c r="N9" i="25" s="1"/>
  <c r="N10" i="25" s="1"/>
  <c r="X24" i="25"/>
  <c r="X9" i="25" s="1"/>
  <c r="X10" i="25" s="1"/>
  <c r="AB18" i="25"/>
  <c r="L52" i="25"/>
  <c r="AB18" i="27"/>
  <c r="H24" i="27"/>
  <c r="H9" i="27" s="1"/>
  <c r="H10" i="27" s="1"/>
  <c r="T24" i="27"/>
  <c r="T9" i="27" s="1"/>
  <c r="T10" i="27" s="1"/>
  <c r="AB13" i="27"/>
  <c r="V24" i="27"/>
  <c r="V9" i="27" s="1"/>
  <c r="V10" i="27" s="1"/>
  <c r="D105" i="27"/>
  <c r="D30" i="27" s="1"/>
  <c r="D31" i="27" s="1"/>
  <c r="AB21" i="27"/>
  <c r="N24" i="27"/>
  <c r="N9" i="27" s="1"/>
  <c r="N10" i="27" s="1"/>
  <c r="L75" i="27"/>
  <c r="J105" i="27"/>
  <c r="J30" i="27" s="1"/>
  <c r="J31" i="27" s="1"/>
  <c r="L66" i="27"/>
  <c r="AB17" i="27"/>
  <c r="AB15" i="27"/>
  <c r="L102" i="27"/>
  <c r="AB20" i="27"/>
  <c r="L24" i="27"/>
  <c r="L9" i="27" s="1"/>
  <c r="L10" i="27" s="1"/>
  <c r="L39" i="27"/>
  <c r="L48" i="27"/>
  <c r="X24" i="27"/>
  <c r="X9" i="27" s="1"/>
  <c r="X10" i="27" s="1"/>
  <c r="AB11" i="27"/>
  <c r="H24" i="25"/>
  <c r="H9" i="25" s="1"/>
  <c r="H10" i="25" s="1"/>
  <c r="AB11" i="25"/>
  <c r="AB17" i="22"/>
  <c r="AB16" i="22"/>
  <c r="D9" i="24"/>
  <c r="K28" i="24"/>
  <c r="K21" i="24"/>
  <c r="M48" i="23"/>
  <c r="M45" i="23"/>
  <c r="M51" i="23"/>
  <c r="M50" i="23"/>
  <c r="M53" i="23"/>
  <c r="M46" i="23"/>
  <c r="M85" i="23"/>
  <c r="M72" i="23"/>
  <c r="E83" i="23"/>
  <c r="M64" i="23"/>
  <c r="K73" i="23"/>
  <c r="G90" i="23"/>
  <c r="G126" i="23"/>
  <c r="M93" i="23"/>
  <c r="M104" i="23"/>
  <c r="M109" i="23"/>
  <c r="M110" i="23"/>
  <c r="M113" i="23"/>
  <c r="M125" i="23"/>
  <c r="M128" i="23"/>
  <c r="M129" i="23"/>
  <c r="M130" i="23"/>
  <c r="M132" i="23"/>
  <c r="M15" i="23"/>
  <c r="I155" i="23"/>
  <c r="M42" i="23"/>
  <c r="C68" i="23"/>
  <c r="M67" i="23"/>
  <c r="M70" i="23"/>
  <c r="I55" i="23"/>
  <c r="M21" i="23"/>
  <c r="M22" i="23"/>
  <c r="M24" i="23"/>
  <c r="M25" i="23"/>
  <c r="M29" i="23"/>
  <c r="M30" i="23"/>
  <c r="M40" i="23"/>
  <c r="K68" i="23"/>
  <c r="M65" i="23"/>
  <c r="I83" i="23"/>
  <c r="M39" i="23"/>
  <c r="M66" i="23"/>
  <c r="I143" i="23"/>
  <c r="G155" i="23"/>
  <c r="M71" i="23"/>
  <c r="M160" i="23"/>
  <c r="M58" i="23"/>
  <c r="E126" i="23"/>
  <c r="C149" i="23"/>
  <c r="M97" i="23"/>
  <c r="M112" i="23"/>
  <c r="M136" i="23"/>
  <c r="C138" i="23"/>
  <c r="I149" i="23"/>
  <c r="G55" i="23"/>
  <c r="M32" i="23"/>
  <c r="M35" i="23"/>
  <c r="M57" i="23"/>
  <c r="M10" i="23"/>
  <c r="M11" i="23"/>
  <c r="E68" i="23"/>
  <c r="I68" i="23"/>
  <c r="G83" i="23"/>
  <c r="M80" i="23"/>
  <c r="M98" i="23"/>
  <c r="M100" i="23"/>
  <c r="M102" i="23"/>
  <c r="M108" i="23"/>
  <c r="G133" i="23"/>
  <c r="M141" i="23"/>
  <c r="E149" i="23"/>
  <c r="C168" i="23"/>
  <c r="I16" i="23"/>
  <c r="I6" i="23" s="1"/>
  <c r="M14" i="23"/>
  <c r="M19" i="23"/>
  <c r="M20" i="23"/>
  <c r="M23" i="23"/>
  <c r="M27" i="23"/>
  <c r="M28" i="23"/>
  <c r="I60" i="23"/>
  <c r="I73" i="23"/>
  <c r="C73" i="23"/>
  <c r="M75" i="23"/>
  <c r="C83" i="23"/>
  <c r="K83" i="23"/>
  <c r="M87" i="23"/>
  <c r="C126" i="23"/>
  <c r="K126" i="23"/>
  <c r="M94" i="23"/>
  <c r="N95" i="23"/>
  <c r="P95" i="23" s="1"/>
  <c r="M96" i="23"/>
  <c r="M101" i="23"/>
  <c r="M105" i="23"/>
  <c r="M107" i="23"/>
  <c r="M124" i="23"/>
  <c r="K133" i="23"/>
  <c r="M135" i="23"/>
  <c r="G149" i="23"/>
  <c r="M151" i="23"/>
  <c r="M154" i="23"/>
  <c r="C155" i="23"/>
  <c r="G16" i="23"/>
  <c r="G6" i="23" s="1"/>
  <c r="C55" i="23"/>
  <c r="K55" i="23"/>
  <c r="M26" i="23"/>
  <c r="M33" i="23"/>
  <c r="M34" i="23"/>
  <c r="M37" i="23"/>
  <c r="M38" i="23"/>
  <c r="M41" i="23"/>
  <c r="M63" i="23"/>
  <c r="M86" i="23"/>
  <c r="E90" i="23"/>
  <c r="I126" i="23"/>
  <c r="M95" i="23"/>
  <c r="M123" i="23"/>
  <c r="M131" i="23"/>
  <c r="M142" i="23"/>
  <c r="M147" i="23"/>
  <c r="M163" i="23"/>
  <c r="E168" i="23"/>
  <c r="C16" i="23"/>
  <c r="K16" i="23"/>
  <c r="K6" i="23" s="1"/>
  <c r="M36" i="23"/>
  <c r="K60" i="23"/>
  <c r="M79" i="23"/>
  <c r="C133" i="23"/>
  <c r="E155" i="23"/>
  <c r="M155" i="23" s="1"/>
  <c r="M62" i="23"/>
  <c r="I90" i="23"/>
  <c r="M92" i="23"/>
  <c r="E138" i="23"/>
  <c r="E143" i="23"/>
  <c r="M145" i="23"/>
  <c r="I168" i="23"/>
  <c r="M12" i="23"/>
  <c r="E16" i="23"/>
  <c r="E6" i="23" s="1"/>
  <c r="E55" i="23"/>
  <c r="C60" i="23"/>
  <c r="K76" i="23"/>
  <c r="M76" i="23" s="1"/>
  <c r="E73" i="23"/>
  <c r="M78" i="23"/>
  <c r="M88" i="23"/>
  <c r="E133" i="23"/>
  <c r="M146" i="23"/>
  <c r="L52" i="22"/>
  <c r="AB11" i="22"/>
  <c r="T24" i="22"/>
  <c r="T9" i="22" s="1"/>
  <c r="T10" i="22" s="1"/>
  <c r="F52" i="22"/>
  <c r="F30" i="22" s="1"/>
  <c r="F31" i="22" s="1"/>
  <c r="D52" i="22"/>
  <c r="D30" i="22" s="1"/>
  <c r="D31" i="22" s="1"/>
  <c r="V24" i="22"/>
  <c r="V9" i="22" s="1"/>
  <c r="V10" i="22" s="1"/>
  <c r="J52" i="22"/>
  <c r="J30" i="22" s="1"/>
  <c r="J31" i="22" s="1"/>
  <c r="AB13" i="22"/>
  <c r="D10" i="22"/>
  <c r="G57" i="21"/>
  <c r="G159" i="21" s="1"/>
  <c r="G7" i="21" s="1"/>
  <c r="G8" i="21" s="1"/>
  <c r="I51" i="21"/>
  <c r="I54" i="21"/>
  <c r="C6" i="21"/>
  <c r="I170" i="21"/>
  <c r="I140" i="21"/>
  <c r="I10" i="21"/>
  <c r="E17" i="21"/>
  <c r="E6" i="21" s="1"/>
  <c r="C57" i="21"/>
  <c r="C75" i="21"/>
  <c r="I75" i="21" s="1"/>
  <c r="C70" i="21"/>
  <c r="I70" i="21" s="1"/>
  <c r="C78" i="21"/>
  <c r="I78" i="21" s="1"/>
  <c r="C92" i="21"/>
  <c r="I92" i="21" s="1"/>
  <c r="I130" i="21"/>
  <c r="I143" i="21"/>
  <c r="I147" i="21"/>
  <c r="I59" i="21"/>
  <c r="I62" i="21" s="1"/>
  <c r="I82" i="21"/>
  <c r="E128" i="21"/>
  <c r="I20" i="21"/>
  <c r="M7" i="19"/>
  <c r="M8" i="19"/>
  <c r="C13" i="19"/>
  <c r="K13" i="19"/>
  <c r="I13" i="19"/>
  <c r="M11" i="19"/>
  <c r="M9" i="19"/>
  <c r="E13" i="19"/>
  <c r="C15" i="17"/>
  <c r="C6" i="17" s="1"/>
  <c r="C40" i="17"/>
  <c r="C7" i="17" s="1"/>
  <c r="O38" i="12"/>
  <c r="I46" i="12"/>
  <c r="O46" i="12" s="1"/>
  <c r="O39" i="12"/>
  <c r="O15" i="12"/>
  <c r="O27" i="12"/>
  <c r="M76" i="16"/>
  <c r="M58" i="16"/>
  <c r="M60" i="16" s="1"/>
  <c r="C68" i="16"/>
  <c r="E73" i="16"/>
  <c r="M75" i="16"/>
  <c r="M78" i="16"/>
  <c r="C133" i="16"/>
  <c r="M141" i="16"/>
  <c r="M145" i="16"/>
  <c r="M151" i="16"/>
  <c r="I168" i="16"/>
  <c r="M10" i="16"/>
  <c r="M19" i="16"/>
  <c r="M85" i="16"/>
  <c r="E126" i="16"/>
  <c r="M135" i="16"/>
  <c r="M86" i="16"/>
  <c r="M146" i="16"/>
  <c r="M129" i="16"/>
  <c r="M143" i="14"/>
  <c r="M19" i="14"/>
  <c r="M71" i="14"/>
  <c r="C73" i="14"/>
  <c r="M73" i="14" s="1"/>
  <c r="E83" i="14"/>
  <c r="G90" i="14"/>
  <c r="M128" i="14"/>
  <c r="C133" i="14"/>
  <c r="M141" i="14"/>
  <c r="M145" i="14"/>
  <c r="M151" i="14"/>
  <c r="I168" i="14"/>
  <c r="M10" i="14"/>
  <c r="M57" i="14"/>
  <c r="M60" i="14" s="1"/>
  <c r="M62" i="14"/>
  <c r="C83" i="14"/>
  <c r="M88" i="14"/>
  <c r="M135" i="14"/>
  <c r="M163" i="14"/>
  <c r="C76" i="14"/>
  <c r="M76" i="14" s="1"/>
  <c r="C126" i="14"/>
  <c r="M146" i="14"/>
  <c r="G15" i="11"/>
  <c r="G6" i="11" s="1"/>
  <c r="M100" i="11"/>
  <c r="M104" i="11"/>
  <c r="M106" i="11"/>
  <c r="I154" i="11"/>
  <c r="M159" i="11"/>
  <c r="C167" i="11"/>
  <c r="E167" i="11"/>
  <c r="M35" i="11"/>
  <c r="M39" i="11"/>
  <c r="M51" i="11"/>
  <c r="I67" i="11"/>
  <c r="M65" i="11"/>
  <c r="M86" i="11"/>
  <c r="K132" i="11"/>
  <c r="E137" i="11"/>
  <c r="M82" i="13"/>
  <c r="M57" i="13"/>
  <c r="M77" i="13"/>
  <c r="E89" i="13"/>
  <c r="C72" i="13"/>
  <c r="M85" i="13"/>
  <c r="E132" i="13"/>
  <c r="C137" i="13"/>
  <c r="I168" i="13"/>
  <c r="M56" i="13"/>
  <c r="M59" i="13" s="1"/>
  <c r="M61" i="13"/>
  <c r="M91" i="13"/>
  <c r="C132" i="13"/>
  <c r="M140" i="13"/>
  <c r="C15" i="13"/>
  <c r="C6" i="13" s="1"/>
  <c r="C54" i="13"/>
  <c r="C125" i="13"/>
  <c r="I82" i="11"/>
  <c r="M124" i="11"/>
  <c r="E15" i="11"/>
  <c r="E6" i="11" s="1"/>
  <c r="M12" i="11"/>
  <c r="M44" i="11"/>
  <c r="M46" i="11"/>
  <c r="M47" i="11"/>
  <c r="M52" i="11"/>
  <c r="I59" i="11"/>
  <c r="M66" i="11"/>
  <c r="C82" i="11"/>
  <c r="K82" i="11"/>
  <c r="M101" i="11"/>
  <c r="M107" i="11"/>
  <c r="M146" i="11"/>
  <c r="C54" i="11"/>
  <c r="K54" i="11"/>
  <c r="M25" i="11"/>
  <c r="M62" i="11"/>
  <c r="M63" i="11"/>
  <c r="K72" i="11"/>
  <c r="M97" i="11"/>
  <c r="M103" i="11"/>
  <c r="M108" i="11"/>
  <c r="M109" i="11"/>
  <c r="M123" i="11"/>
  <c r="M127" i="11"/>
  <c r="M130" i="11"/>
  <c r="M144" i="11"/>
  <c r="E154" i="11"/>
  <c r="M164" i="11"/>
  <c r="M165" i="11"/>
  <c r="C154" i="11"/>
  <c r="M32" i="11"/>
  <c r="M36" i="11"/>
  <c r="M50" i="11"/>
  <c r="M84" i="11"/>
  <c r="M99" i="11"/>
  <c r="E132" i="11"/>
  <c r="M129" i="11"/>
  <c r="C137" i="11"/>
  <c r="M137" i="11" s="1"/>
  <c r="K15" i="11"/>
  <c r="K6" i="11" s="1"/>
  <c r="M24" i="11"/>
  <c r="E89" i="11"/>
  <c r="M112" i="11"/>
  <c r="G54" i="11"/>
  <c r="M23" i="11"/>
  <c r="M31" i="11"/>
  <c r="M34" i="11"/>
  <c r="M48" i="11"/>
  <c r="M49" i="11"/>
  <c r="K59" i="11"/>
  <c r="E67" i="11"/>
  <c r="M69" i="11"/>
  <c r="M71" i="11"/>
  <c r="M74" i="11"/>
  <c r="G82" i="11"/>
  <c r="M79" i="11"/>
  <c r="M87" i="11"/>
  <c r="M95" i="11"/>
  <c r="M96" i="11"/>
  <c r="M122" i="11"/>
  <c r="I132" i="11"/>
  <c r="M11" i="11"/>
  <c r="E54" i="11"/>
  <c r="M19" i="11"/>
  <c r="M22" i="11"/>
  <c r="M26" i="11"/>
  <c r="M27" i="11"/>
  <c r="M37" i="11"/>
  <c r="C67" i="11"/>
  <c r="E82" i="11"/>
  <c r="M78" i="11"/>
  <c r="G89" i="11"/>
  <c r="M92" i="11"/>
  <c r="M94" i="11"/>
  <c r="G132" i="11"/>
  <c r="M135" i="11"/>
  <c r="E142" i="11"/>
  <c r="E148" i="11"/>
  <c r="I167" i="11"/>
  <c r="M167" i="11" s="1"/>
  <c r="M18" i="11"/>
  <c r="M70" i="11"/>
  <c r="C89" i="11"/>
  <c r="M128" i="11"/>
  <c r="I148" i="11"/>
  <c r="M150" i="11"/>
  <c r="M153" i="11"/>
  <c r="M61" i="11"/>
  <c r="I89" i="11"/>
  <c r="M91" i="11"/>
  <c r="C132" i="11"/>
  <c r="M140" i="11"/>
  <c r="M162" i="11"/>
  <c r="M10" i="11"/>
  <c r="C59" i="11"/>
  <c r="C75" i="11"/>
  <c r="M75" i="11" s="1"/>
  <c r="M145" i="11"/>
  <c r="M77" i="11"/>
  <c r="M69" i="5"/>
  <c r="E168" i="5"/>
  <c r="M38" i="5"/>
  <c r="M160" i="5"/>
  <c r="M165" i="5"/>
  <c r="C168" i="5"/>
  <c r="I168" i="5"/>
  <c r="M6" i="5"/>
  <c r="I138" i="5"/>
  <c r="M74" i="5"/>
  <c r="M71" i="5"/>
  <c r="E155" i="5"/>
  <c r="M105" i="5"/>
  <c r="M151" i="5"/>
  <c r="M154" i="5"/>
  <c r="C155" i="5"/>
  <c r="M106" i="5"/>
  <c r="M108" i="5"/>
  <c r="E67" i="5"/>
  <c r="I72" i="5"/>
  <c r="M41" i="5"/>
  <c r="I82" i="5"/>
  <c r="M66" i="5"/>
  <c r="E72" i="5"/>
  <c r="M48" i="5"/>
  <c r="M125" i="5"/>
  <c r="M109" i="5"/>
  <c r="K67" i="5"/>
  <c r="K72" i="5"/>
  <c r="M93" i="5"/>
  <c r="M98" i="5"/>
  <c r="M61" i="5"/>
  <c r="I67" i="5"/>
  <c r="M65" i="5"/>
  <c r="G72" i="5"/>
  <c r="M75" i="5" s="1"/>
  <c r="M146" i="5"/>
  <c r="M44" i="5"/>
  <c r="M96" i="5"/>
  <c r="M70" i="5"/>
  <c r="M147" i="5"/>
  <c r="E82" i="5"/>
  <c r="I59" i="5"/>
  <c r="M62" i="5"/>
  <c r="M63" i="5"/>
  <c r="M64" i="5"/>
  <c r="C67" i="5"/>
  <c r="M78" i="5"/>
  <c r="M130" i="5"/>
  <c r="M110" i="5"/>
  <c r="M94" i="5"/>
  <c r="M57" i="5"/>
  <c r="M124" i="5"/>
  <c r="E59" i="5"/>
  <c r="G126" i="5"/>
  <c r="M136" i="5"/>
  <c r="M20" i="5"/>
  <c r="M26" i="5"/>
  <c r="M37" i="5"/>
  <c r="E126" i="5"/>
  <c r="E89" i="5"/>
  <c r="E149" i="5"/>
  <c r="E138" i="5"/>
  <c r="E143" i="5"/>
  <c r="I149" i="5"/>
  <c r="I143" i="5"/>
  <c r="G149" i="5"/>
  <c r="D9" i="10"/>
  <c r="K28" i="10"/>
  <c r="K21" i="10"/>
  <c r="K126" i="5"/>
  <c r="M92" i="5"/>
  <c r="C138" i="5"/>
  <c r="M114" i="5"/>
  <c r="M56" i="5"/>
  <c r="M21" i="5"/>
  <c r="M52" i="5"/>
  <c r="M32" i="5"/>
  <c r="M35" i="5"/>
  <c r="M46" i="5"/>
  <c r="E133" i="5"/>
  <c r="M129" i="5"/>
  <c r="M102" i="5"/>
  <c r="M28" i="5"/>
  <c r="M85" i="5"/>
  <c r="G54" i="5"/>
  <c r="M51" i="5"/>
  <c r="M113" i="5"/>
  <c r="I133" i="5"/>
  <c r="M45" i="5"/>
  <c r="M39" i="5"/>
  <c r="M50" i="5"/>
  <c r="K133" i="5"/>
  <c r="K143" i="5"/>
  <c r="K82" i="5"/>
  <c r="M77" i="5"/>
  <c r="M111" i="5"/>
  <c r="M95" i="5"/>
  <c r="M87" i="5"/>
  <c r="M19" i="5"/>
  <c r="M49" i="5"/>
  <c r="M24" i="5"/>
  <c r="M31" i="5"/>
  <c r="M33" i="5"/>
  <c r="M142" i="5"/>
  <c r="M103" i="5"/>
  <c r="M86" i="5"/>
  <c r="G82" i="5"/>
  <c r="I89" i="5"/>
  <c r="I54" i="5"/>
  <c r="M34" i="5"/>
  <c r="K54" i="5"/>
  <c r="M23" i="5"/>
  <c r="M22" i="5"/>
  <c r="M25" i="5"/>
  <c r="M132" i="5"/>
  <c r="M47" i="5"/>
  <c r="G133" i="5"/>
  <c r="M29" i="5"/>
  <c r="M36" i="5"/>
  <c r="C126" i="5"/>
  <c r="M131" i="5"/>
  <c r="E54" i="5"/>
  <c r="I126" i="5"/>
  <c r="M18" i="5"/>
  <c r="M40" i="5"/>
  <c r="C82" i="5"/>
  <c r="G89" i="5"/>
  <c r="M84" i="5"/>
  <c r="C133" i="5"/>
  <c r="C149" i="5"/>
  <c r="C59" i="5"/>
  <c r="M128" i="5"/>
  <c r="M145" i="5"/>
  <c r="C54" i="5"/>
  <c r="M27" i="5"/>
  <c r="C89" i="5"/>
  <c r="M135" i="5"/>
  <c r="M140" i="5"/>
  <c r="M91" i="5"/>
  <c r="K59" i="5"/>
  <c r="O15" i="9"/>
  <c r="O15" i="8"/>
  <c r="D10" i="6"/>
  <c r="AH10" i="6" s="1"/>
  <c r="M137" i="13" l="1"/>
  <c r="M133" i="14"/>
  <c r="G170" i="16"/>
  <c r="I157" i="13"/>
  <c r="I7" i="13" s="1"/>
  <c r="I8" i="13" s="1"/>
  <c r="K170" i="13"/>
  <c r="M6" i="16"/>
  <c r="M138" i="14"/>
  <c r="M72" i="11"/>
  <c r="I157" i="16"/>
  <c r="I7" i="16" s="1"/>
  <c r="I8" i="16" s="1"/>
  <c r="G170" i="13"/>
  <c r="G157" i="14"/>
  <c r="G7" i="14" s="1"/>
  <c r="G8" i="14" s="1"/>
  <c r="AB10" i="25"/>
  <c r="I135" i="21"/>
  <c r="M132" i="11"/>
  <c r="I170" i="14"/>
  <c r="E159" i="21"/>
  <c r="E7" i="21" s="1"/>
  <c r="M149" i="23"/>
  <c r="M72" i="13"/>
  <c r="M73" i="16"/>
  <c r="AB24" i="22"/>
  <c r="M73" i="23"/>
  <c r="M143" i="23"/>
  <c r="K157" i="16"/>
  <c r="K7" i="16" s="1"/>
  <c r="K8" i="16" s="1"/>
  <c r="M83" i="16"/>
  <c r="M16" i="14"/>
  <c r="M142" i="11"/>
  <c r="M54" i="13"/>
  <c r="AB10" i="27"/>
  <c r="G170" i="23"/>
  <c r="M16" i="16"/>
  <c r="M15" i="11"/>
  <c r="M54" i="11"/>
  <c r="M154" i="11"/>
  <c r="M149" i="16"/>
  <c r="M55" i="16"/>
  <c r="M157" i="16" s="1"/>
  <c r="K157" i="14"/>
  <c r="K7" i="14" s="1"/>
  <c r="K8" i="14" s="1"/>
  <c r="M68" i="14"/>
  <c r="M55" i="14"/>
  <c r="M125" i="11"/>
  <c r="M59" i="11"/>
  <c r="G157" i="13"/>
  <c r="G7" i="13" s="1"/>
  <c r="G8" i="13" s="1"/>
  <c r="M67" i="11"/>
  <c r="E157" i="13"/>
  <c r="E7" i="13" s="1"/>
  <c r="E8" i="13" s="1"/>
  <c r="K169" i="11"/>
  <c r="I157" i="14"/>
  <c r="I7" i="14" s="1"/>
  <c r="I8" i="14" s="1"/>
  <c r="M15" i="13"/>
  <c r="M143" i="5"/>
  <c r="M59" i="5"/>
  <c r="K156" i="11"/>
  <c r="K7" i="11" s="1"/>
  <c r="K8" i="11" s="1"/>
  <c r="M125" i="13"/>
  <c r="M132" i="13"/>
  <c r="I170" i="13"/>
  <c r="E170" i="13"/>
  <c r="K157" i="13"/>
  <c r="K7" i="13" s="1"/>
  <c r="K8" i="13" s="1"/>
  <c r="M149" i="13"/>
  <c r="M126" i="14"/>
  <c r="E157" i="14"/>
  <c r="E7" i="14" s="1"/>
  <c r="E157" i="16"/>
  <c r="E7" i="16" s="1"/>
  <c r="E8" i="16" s="1"/>
  <c r="I170" i="16"/>
  <c r="M133" i="16"/>
  <c r="M68" i="16"/>
  <c r="K170" i="16"/>
  <c r="M133" i="23"/>
  <c r="G157" i="23"/>
  <c r="G7" i="23" s="1"/>
  <c r="G8" i="23" s="1"/>
  <c r="AB24" i="25"/>
  <c r="E6" i="14"/>
  <c r="M6" i="14" s="1"/>
  <c r="M155" i="13"/>
  <c r="AB24" i="27"/>
  <c r="L105" i="27"/>
  <c r="AB9" i="27"/>
  <c r="AB9" i="25"/>
  <c r="AB9" i="22"/>
  <c r="K9" i="24"/>
  <c r="K10" i="24" s="1"/>
  <c r="D10" i="24"/>
  <c r="M55" i="23"/>
  <c r="M68" i="23"/>
  <c r="I157" i="23"/>
  <c r="I7" i="23" s="1"/>
  <c r="I8" i="23" s="1"/>
  <c r="M60" i="23"/>
  <c r="C157" i="23"/>
  <c r="C7" i="23" s="1"/>
  <c r="M16" i="23"/>
  <c r="C170" i="23"/>
  <c r="M83" i="23"/>
  <c r="M126" i="23"/>
  <c r="I170" i="23"/>
  <c r="C6" i="23"/>
  <c r="M6" i="23" s="1"/>
  <c r="E157" i="23"/>
  <c r="E7" i="23" s="1"/>
  <c r="E8" i="23" s="1"/>
  <c r="M138" i="23"/>
  <c r="M90" i="23"/>
  <c r="E170" i="23"/>
  <c r="K170" i="23"/>
  <c r="K157" i="23"/>
  <c r="K7" i="23" s="1"/>
  <c r="K8" i="23" s="1"/>
  <c r="M168" i="23"/>
  <c r="AB10" i="22"/>
  <c r="G172" i="21"/>
  <c r="I57" i="21"/>
  <c r="C172" i="21"/>
  <c r="I17" i="21"/>
  <c r="I128" i="21"/>
  <c r="C159" i="21"/>
  <c r="C7" i="21" s="1"/>
  <c r="I7" i="21" s="1"/>
  <c r="I8" i="21" s="1"/>
  <c r="E8" i="21"/>
  <c r="E172" i="21"/>
  <c r="M13" i="19"/>
  <c r="O48" i="12"/>
  <c r="M126" i="16"/>
  <c r="E170" i="16"/>
  <c r="C157" i="16"/>
  <c r="C7" i="16" s="1"/>
  <c r="M168" i="16"/>
  <c r="C170" i="16"/>
  <c r="M83" i="14"/>
  <c r="E170" i="14"/>
  <c r="G170" i="14"/>
  <c r="M90" i="14"/>
  <c r="C157" i="14"/>
  <c r="C7" i="14" s="1"/>
  <c r="M168" i="14"/>
  <c r="C170" i="14"/>
  <c r="M6" i="11"/>
  <c r="E169" i="11"/>
  <c r="G156" i="11"/>
  <c r="G7" i="11" s="1"/>
  <c r="G8" i="11" s="1"/>
  <c r="E156" i="11"/>
  <c r="E7" i="11" s="1"/>
  <c r="E8" i="11" s="1"/>
  <c r="M6" i="13"/>
  <c r="M168" i="13"/>
  <c r="C157" i="13"/>
  <c r="C7" i="13" s="1"/>
  <c r="M89" i="13"/>
  <c r="C170" i="13"/>
  <c r="M82" i="11"/>
  <c r="I156" i="11"/>
  <c r="I7" i="11" s="1"/>
  <c r="I8" i="11" s="1"/>
  <c r="G169" i="11"/>
  <c r="M89" i="11"/>
  <c r="I169" i="11"/>
  <c r="C156" i="11"/>
  <c r="C7" i="11" s="1"/>
  <c r="C8" i="11" s="1"/>
  <c r="C169" i="11"/>
  <c r="M148" i="11"/>
  <c r="E170" i="5"/>
  <c r="G157" i="5"/>
  <c r="G7" i="5" s="1"/>
  <c r="G8" i="5" s="1"/>
  <c r="M168" i="5"/>
  <c r="I157" i="5"/>
  <c r="I7" i="5" s="1"/>
  <c r="K157" i="5"/>
  <c r="K7" i="5" s="1"/>
  <c r="K8" i="5" s="1"/>
  <c r="I170" i="5"/>
  <c r="K170" i="5"/>
  <c r="E157" i="5"/>
  <c r="E7" i="5" s="1"/>
  <c r="E8" i="5" s="1"/>
  <c r="G170" i="5"/>
  <c r="M155" i="5"/>
  <c r="C170" i="5"/>
  <c r="C157" i="5"/>
  <c r="C7" i="5" s="1"/>
  <c r="M72" i="5"/>
  <c r="M126" i="5"/>
  <c r="M67" i="5"/>
  <c r="M133" i="5"/>
  <c r="M54" i="5"/>
  <c r="M149" i="5"/>
  <c r="M82" i="5"/>
  <c r="M138" i="5"/>
  <c r="K9" i="10"/>
  <c r="K10" i="10" s="1"/>
  <c r="D10" i="10"/>
  <c r="M89" i="5"/>
  <c r="I8" i="5"/>
  <c r="C8" i="5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11" i="1"/>
  <c r="K8" i="1"/>
  <c r="H49" i="4"/>
  <c r="H31" i="4" s="1"/>
  <c r="H32" i="4" s="1"/>
  <c r="J46" i="4"/>
  <c r="J42" i="4"/>
  <c r="F42" i="4"/>
  <c r="D42" i="4"/>
  <c r="J37" i="4"/>
  <c r="F37" i="4"/>
  <c r="D37" i="4"/>
  <c r="J33" i="4"/>
  <c r="F33" i="4"/>
  <c r="D33" i="4"/>
  <c r="AF24" i="4"/>
  <c r="AD24" i="4"/>
  <c r="AB24" i="4"/>
  <c r="Z24" i="4"/>
  <c r="X24" i="4"/>
  <c r="V24" i="4"/>
  <c r="T24" i="4"/>
  <c r="R24" i="4"/>
  <c r="P24" i="4"/>
  <c r="N24" i="4"/>
  <c r="L24" i="4"/>
  <c r="J24" i="4"/>
  <c r="H24" i="4"/>
  <c r="F24" i="4"/>
  <c r="D24" i="4"/>
  <c r="A24" i="4"/>
  <c r="AH22" i="4"/>
  <c r="AH21" i="4"/>
  <c r="AH20" i="4"/>
  <c r="AH19" i="4"/>
  <c r="AH18" i="4"/>
  <c r="AH17" i="4"/>
  <c r="AH16" i="4"/>
  <c r="AH15" i="4"/>
  <c r="AH14" i="4"/>
  <c r="AH13" i="4"/>
  <c r="AH12" i="4"/>
  <c r="AH11" i="4"/>
  <c r="AF10" i="4"/>
  <c r="AD10" i="4"/>
  <c r="AB10" i="4"/>
  <c r="Z10" i="4"/>
  <c r="X10" i="4"/>
  <c r="V10" i="4"/>
  <c r="T10" i="4"/>
  <c r="R10" i="4"/>
  <c r="P10" i="4"/>
  <c r="N10" i="4"/>
  <c r="L10" i="4"/>
  <c r="J10" i="4"/>
  <c r="H10" i="4"/>
  <c r="F10" i="4"/>
  <c r="D9" i="4"/>
  <c r="AH9" i="4" s="1"/>
  <c r="AH8" i="4"/>
  <c r="I28" i="1"/>
  <c r="I9" i="1" s="1"/>
  <c r="I10" i="1" s="1"/>
  <c r="G28" i="1"/>
  <c r="G9" i="1" s="1"/>
  <c r="G10" i="1" s="1"/>
  <c r="D28" i="1"/>
  <c r="D9" i="1" s="1"/>
  <c r="J49" i="4" l="1"/>
  <c r="J31" i="4" s="1"/>
  <c r="J32" i="4" s="1"/>
  <c r="M157" i="13"/>
  <c r="E8" i="14"/>
  <c r="M7" i="13"/>
  <c r="M170" i="16"/>
  <c r="M170" i="13"/>
  <c r="AH24" i="4"/>
  <c r="F49" i="4"/>
  <c r="F31" i="4" s="1"/>
  <c r="F32" i="4" s="1"/>
  <c r="D49" i="4"/>
  <c r="D31" i="4" s="1"/>
  <c r="D32" i="4" s="1"/>
  <c r="M157" i="14"/>
  <c r="C8" i="23"/>
  <c r="M157" i="23"/>
  <c r="M170" i="23"/>
  <c r="M7" i="23"/>
  <c r="M8" i="23" s="1"/>
  <c r="C8" i="21"/>
  <c r="I172" i="21"/>
  <c r="I159" i="21"/>
  <c r="M7" i="16"/>
  <c r="M8" i="16" s="1"/>
  <c r="C8" i="16"/>
  <c r="M170" i="14"/>
  <c r="M7" i="14"/>
  <c r="M8" i="14" s="1"/>
  <c r="C8" i="14"/>
  <c r="C8" i="13"/>
  <c r="M8" i="13" s="1"/>
  <c r="M169" i="11"/>
  <c r="M156" i="11"/>
  <c r="M7" i="11"/>
  <c r="M8" i="11" s="1"/>
  <c r="M157" i="5"/>
  <c r="M170" i="5"/>
  <c r="M7" i="5"/>
  <c r="M8" i="5"/>
  <c r="K9" i="1"/>
  <c r="K10" i="1" s="1"/>
  <c r="K28" i="1"/>
  <c r="D10" i="4"/>
  <c r="AH10" i="4" s="1"/>
  <c r="D10" i="1"/>
</calcChain>
</file>

<file path=xl/comments1.xml><?xml version="1.0" encoding="utf-8"?>
<comments xmlns="http://schemas.openxmlformats.org/spreadsheetml/2006/main">
  <authors>
    <author>Cliente</author>
  </authors>
  <commentList>
    <comment ref="K29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42,03- Insalubridade Lic. Maternidade Madalena
</t>
        </r>
      </text>
    </comment>
    <comment ref="K61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03-15
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03-15
</t>
        </r>
      </text>
    </comment>
    <comment ref="K63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02-15
</t>
        </r>
      </text>
    </comment>
    <comment ref="K64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02-15
</t>
        </r>
      </text>
    </comment>
    <comment ref="K65" authorId="0" shapeId="0">
      <text>
        <r>
          <rPr>
            <b/>
            <sz val="8"/>
            <color indexed="81"/>
            <rFont val="Tahoma"/>
            <family val="2"/>
          </rPr>
          <t>Cliente:
Competencia 02-15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66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02-15
</t>
        </r>
      </text>
    </comment>
    <comment ref="K110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Páscoa</t>
        </r>
      </text>
    </comment>
    <comment ref="A111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Manutenção Sigho
</t>
        </r>
      </text>
    </comment>
    <comment ref="K119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506,18 - REF 002 - 61339019-0
 618,01 - REF 014 - 61130243-8</t>
        </r>
      </text>
    </comment>
    <comment ref="K124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16/02/15 -   613,89 REF. 01/15
15/01/15 -  2.110,23  REF. 12/14
16/03/15 - 3.156,61 REF. 02-15
15/04/15 - 2.138,97 REF. 03-15
15/05/15 - 1.969,94 REF. 04/15
</t>
        </r>
      </text>
    </comment>
  </commentList>
</comments>
</file>

<file path=xl/comments2.xml><?xml version="1.0" encoding="utf-8"?>
<comments xmlns="http://schemas.openxmlformats.org/spreadsheetml/2006/main">
  <authors>
    <author>Cliente</author>
  </authors>
  <commentList>
    <comment ref="K30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42,03- Insalubridade Lic. Maternidade Madalena
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03-15
</t>
        </r>
      </text>
    </comment>
    <comment ref="K63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03-15
</t>
        </r>
      </text>
    </comment>
    <comment ref="K64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02-15
</t>
        </r>
      </text>
    </comment>
    <comment ref="K65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02-15
</t>
        </r>
      </text>
    </comment>
    <comment ref="K66" authorId="0" shapeId="0">
      <text>
        <r>
          <rPr>
            <b/>
            <sz val="8"/>
            <color indexed="81"/>
            <rFont val="Tahoma"/>
            <family val="2"/>
          </rPr>
          <t>Cliente:
Competencia 02-15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67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02-15
</t>
        </r>
      </text>
    </comment>
    <comment ref="K109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Páscoa</t>
        </r>
      </text>
    </comment>
    <comment ref="A110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Manutenção Sigho
</t>
        </r>
      </text>
    </comment>
    <comment ref="K118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506,18 - REF 002 - 61339019-0
 618,01 - REF 014 - 61130243-8</t>
        </r>
      </text>
    </comment>
    <comment ref="K123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16/02/15 -   613,89 REF. 01/15
15/01/15 -  2.110,23  REF. 12/14
16/03/15 - 3.156,61 REF. 02-15
15/04/15 - 2.138,97 REF. 03-15
15/05/15 - 1.969,94 REF. 04/15
</t>
        </r>
      </text>
    </comment>
  </commentList>
</comments>
</file>

<file path=xl/comments3.xml><?xml version="1.0" encoding="utf-8"?>
<comments xmlns="http://schemas.openxmlformats.org/spreadsheetml/2006/main">
  <authors>
    <author>Cliente</author>
  </authors>
  <commentList>
    <comment ref="K29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42,03- Insalubridade Lic. Maternidade Madalena
</t>
        </r>
      </text>
    </comment>
    <comment ref="K61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03-15
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03-15
</t>
        </r>
      </text>
    </comment>
    <comment ref="K63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02-15
</t>
        </r>
      </text>
    </comment>
    <comment ref="K64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02-15
</t>
        </r>
      </text>
    </comment>
    <comment ref="K65" authorId="0" shapeId="0">
      <text>
        <r>
          <rPr>
            <b/>
            <sz val="8"/>
            <color indexed="81"/>
            <rFont val="Tahoma"/>
            <family val="2"/>
          </rPr>
          <t>Cliente:
Competencia 02-15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66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02-15
</t>
        </r>
      </text>
    </comment>
    <comment ref="K108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Páscoa</t>
        </r>
      </text>
    </comment>
    <comment ref="A109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Manutenção Sigho
</t>
        </r>
      </text>
    </comment>
    <comment ref="K117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506,18 - REF 002 - 61339019-0
 618,01 - REF 014 - 61130243-8</t>
        </r>
      </text>
    </comment>
    <comment ref="K122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16/02/15 -   613,89 REF. 01/15
15/01/15 -  2.110,23  REF. 12/14
16/03/15 - 3.156,61 REF. 02-15
15/04/15 - 2.138,97 REF. 03-15
15/05/15 - 1.969,94 REF. 04/15
</t>
        </r>
      </text>
    </comment>
  </commentList>
</comments>
</file>

<file path=xl/comments4.xml><?xml version="1.0" encoding="utf-8"?>
<comments xmlns="http://schemas.openxmlformats.org/spreadsheetml/2006/main">
  <authors>
    <author>Cliente</author>
  </authors>
  <commentList>
    <comment ref="K30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42,03- Insalubridade Lic. Maternidade Madalena
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03-15
</t>
        </r>
      </text>
    </comment>
    <comment ref="K63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03-15
</t>
        </r>
      </text>
    </comment>
    <comment ref="K64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02-15
</t>
        </r>
      </text>
    </comment>
    <comment ref="K65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02-15
</t>
        </r>
      </text>
    </comment>
    <comment ref="K66" authorId="0" shapeId="0">
      <text>
        <r>
          <rPr>
            <b/>
            <sz val="8"/>
            <color indexed="81"/>
            <rFont val="Tahoma"/>
            <family val="2"/>
          </rPr>
          <t>Cliente:
Competencia 02-15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67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02-15
</t>
        </r>
      </text>
    </comment>
    <comment ref="K109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Páscoa</t>
        </r>
      </text>
    </comment>
    <comment ref="A110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Manutenção Sigho
</t>
        </r>
      </text>
    </comment>
    <comment ref="K118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506,18 - REF 002 - 61339019-0
 618,01 - REF 014 - 61130243-8</t>
        </r>
      </text>
    </comment>
    <comment ref="K123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16/02/15 -   613,89 REF. 01/15
15/01/15 -  2.110,23  REF. 12/14
16/03/15 - 3.156,61 REF. 02-15
15/04/15 - 2.138,97 REF. 03-15
15/05/15 - 1.969,94 REF. 04/15
</t>
        </r>
      </text>
    </comment>
  </commentList>
</comments>
</file>

<file path=xl/comments5.xml><?xml version="1.0" encoding="utf-8"?>
<comments xmlns="http://schemas.openxmlformats.org/spreadsheetml/2006/main">
  <authors>
    <author>Cliente</author>
  </authors>
  <commentList>
    <comment ref="G15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Ricardo Andrelo 
</t>
        </r>
      </text>
    </comment>
    <comment ref="E31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42,03- Insalubridade Lic. Maternidade Madalena
</t>
        </r>
      </text>
    </comment>
    <comment ref="E64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03-15
</t>
        </r>
      </text>
    </comment>
    <comment ref="E65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03-15
</t>
        </r>
      </text>
    </comment>
    <comment ref="E66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02-15
</t>
        </r>
      </text>
    </comment>
    <comment ref="E67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02-15
</t>
        </r>
      </text>
    </comment>
    <comment ref="E68" authorId="0" shapeId="0">
      <text>
        <r>
          <rPr>
            <b/>
            <sz val="8"/>
            <color indexed="81"/>
            <rFont val="Tahoma"/>
            <family val="2"/>
          </rPr>
          <t>Cliente:
Competencia 02-15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9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02-15
</t>
        </r>
      </text>
    </comment>
    <comment ref="E111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Páscoa</t>
        </r>
      </text>
    </comment>
    <comment ref="A112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Manutenção Sigho
</t>
        </r>
      </text>
    </comment>
    <comment ref="E120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506,18 - REF 002 - 61339019-0
 618,01 - REF 014 - 61130243-8</t>
        </r>
      </text>
    </comment>
    <comment ref="E125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16/02/15 -   613,89 REF. 01/15
15/01/15 -  2.110,23  REF. 12/14
16/03/15 - 3.156,61 REF. 02-15
15/04/15 - 2.138,97 REF. 03-15
15/05/15 - 1.969,94 REF. 04/15
</t>
        </r>
      </text>
    </comment>
  </commentList>
</comments>
</file>

<file path=xl/comments6.xml><?xml version="1.0" encoding="utf-8"?>
<comments xmlns="http://schemas.openxmlformats.org/spreadsheetml/2006/main">
  <authors>
    <author>Cliente</author>
  </authors>
  <commentList>
    <comment ref="K30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42,03- Insalubridade Lic. Maternidade Madalena
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03-15
</t>
        </r>
      </text>
    </comment>
    <comment ref="K63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03-15
</t>
        </r>
      </text>
    </comment>
    <comment ref="K64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02-15
</t>
        </r>
      </text>
    </comment>
    <comment ref="K65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02-15
</t>
        </r>
      </text>
    </comment>
    <comment ref="K66" authorId="0" shapeId="0">
      <text>
        <r>
          <rPr>
            <b/>
            <sz val="8"/>
            <color indexed="81"/>
            <rFont val="Tahoma"/>
            <family val="2"/>
          </rPr>
          <t>Cliente:
Competencia 02-15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67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02-15
</t>
        </r>
      </text>
    </comment>
    <comment ref="K109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Páscoa</t>
        </r>
      </text>
    </comment>
    <comment ref="A110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Manutenção Sigho
</t>
        </r>
      </text>
    </comment>
    <comment ref="K118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506,18 - REF 002 - 61339019-0
 618,01 - REF 014 - 61130243-8</t>
        </r>
      </text>
    </comment>
    <comment ref="K123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16/02/15 -   613,89 REF. 01/15
15/01/15 -  2.110,23  REF. 12/14
16/03/15 - 3.156,61 REF. 02-15
15/04/15 - 2.138,97 REF. 03-15
15/05/15 - 1.969,94 REF. 04/15
</t>
        </r>
      </text>
    </comment>
  </commentList>
</comments>
</file>

<file path=xl/comments7.xml><?xml version="1.0" encoding="utf-8"?>
<comments xmlns="http://schemas.openxmlformats.org/spreadsheetml/2006/main">
  <authors>
    <author>Cliente</author>
  </authors>
  <commentList>
    <comment ref="K29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42,03- Insalubridade Lic. Maternidade Madalena
</t>
        </r>
      </text>
    </comment>
    <comment ref="K61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03-15
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03-15
</t>
        </r>
      </text>
    </comment>
    <comment ref="K63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02-15
</t>
        </r>
      </text>
    </comment>
    <comment ref="K64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02-15
</t>
        </r>
      </text>
    </comment>
    <comment ref="K65" authorId="0" shapeId="0">
      <text>
        <r>
          <rPr>
            <b/>
            <sz val="8"/>
            <color indexed="81"/>
            <rFont val="Tahoma"/>
            <family val="2"/>
          </rPr>
          <t>Cliente:
Competencia 02-15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66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02-15
</t>
        </r>
      </text>
    </comment>
    <comment ref="K108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Páscoa</t>
        </r>
      </text>
    </comment>
    <comment ref="A109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Manutenção Sigho
</t>
        </r>
      </text>
    </comment>
    <comment ref="K117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506,18 - REF 002 - 61339019-0
 618,01 - REF 014 - 61130243-8</t>
        </r>
      </text>
    </comment>
    <comment ref="K122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16/02/15 -   613,89 REF. 01/15
15/01/15 -  2.110,23  REF. 12/14
16/03/15 - 3.156,61 REF. 02-15
15/04/15 - 2.138,97 REF. 03-15
15/05/15 - 1.969,94 REF. 04/15
</t>
        </r>
      </text>
    </comment>
  </commentList>
</comments>
</file>

<file path=xl/comments8.xml><?xml version="1.0" encoding="utf-8"?>
<comments xmlns="http://schemas.openxmlformats.org/spreadsheetml/2006/main">
  <authors>
    <author>Cliente</author>
  </authors>
  <commentList>
    <comment ref="K7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03-15
</t>
        </r>
      </text>
    </comment>
    <comment ref="K8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03-15
</t>
        </r>
      </text>
    </comment>
    <comment ref="K9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02-15
</t>
        </r>
      </text>
    </comment>
    <comment ref="K10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02-15
</t>
        </r>
      </text>
    </comment>
    <comment ref="K11" authorId="0" shapeId="0">
      <text>
        <r>
          <rPr>
            <b/>
            <sz val="8"/>
            <color indexed="81"/>
            <rFont val="Tahoma"/>
            <family val="2"/>
          </rPr>
          <t>Cliente:
Competencia 02-15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2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Competencia 02-15
</t>
        </r>
      </text>
    </comment>
  </commentList>
</comments>
</file>

<file path=xl/comments9.xml><?xml version="1.0" encoding="utf-8"?>
<comments xmlns="http://schemas.openxmlformats.org/spreadsheetml/2006/main">
  <authors>
    <author>Cliente</author>
  </authors>
  <commentList>
    <comment ref="L36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Ref. 80 consultas abril 2015</t>
        </r>
      </text>
    </comment>
    <comment ref="L41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Ref. 35 consultas abril 2015</t>
        </r>
      </text>
    </comment>
    <comment ref="L46" authorId="0" shape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Ref. 29 Consultas abril 2015
</t>
        </r>
      </text>
    </comment>
  </commentList>
</comments>
</file>

<file path=xl/sharedStrings.xml><?xml version="1.0" encoding="utf-8"?>
<sst xmlns="http://schemas.openxmlformats.org/spreadsheetml/2006/main" count="1907" uniqueCount="291">
  <si>
    <t>Água</t>
  </si>
  <si>
    <t>Energia</t>
  </si>
  <si>
    <t>Gaz</t>
  </si>
  <si>
    <t>Alimentação</t>
  </si>
  <si>
    <t>Limpeza</t>
  </si>
  <si>
    <t>Plantão</t>
  </si>
  <si>
    <t>24 horas</t>
  </si>
  <si>
    <t>Feriados</t>
  </si>
  <si>
    <t>Sobreaviso</t>
  </si>
  <si>
    <t>Obstetrico</t>
  </si>
  <si>
    <t>Material</t>
  </si>
  <si>
    <t>Medicam</t>
  </si>
  <si>
    <t>Exames</t>
  </si>
  <si>
    <t>Laborat</t>
  </si>
  <si>
    <t>Oxigênio</t>
  </si>
  <si>
    <t>Folha</t>
  </si>
  <si>
    <t>Produtos</t>
  </si>
  <si>
    <t>Lavand</t>
  </si>
  <si>
    <t>Impostos</t>
  </si>
  <si>
    <t>DARF,GPS</t>
  </si>
  <si>
    <t>ISSQN</t>
  </si>
  <si>
    <t>Banco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</si>
  <si>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</si>
  <si>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</si>
  <si>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</si>
  <si>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</si>
  <si>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</si>
  <si>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</si>
  <si>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</si>
  <si>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</si>
  <si>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</si>
  <si>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</si>
  <si>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Total</t>
  </si>
  <si>
    <t>Convênio = 002/2015</t>
  </si>
  <si>
    <t>Vigencia : 01/01/15 á 31/12/15</t>
  </si>
  <si>
    <t>Cronograma de execução - Secretária Municipal de Saúde</t>
  </si>
  <si>
    <t>11º</t>
  </si>
  <si>
    <t>12º</t>
  </si>
  <si>
    <t>V.Prev.</t>
  </si>
  <si>
    <t>V.Gast.</t>
  </si>
  <si>
    <t xml:space="preserve">12 horas </t>
  </si>
  <si>
    <t>201 - Plantão</t>
  </si>
  <si>
    <t>80 - Plantão</t>
  </si>
  <si>
    <t>334 - Plantão</t>
  </si>
  <si>
    <t>Tetilla</t>
  </si>
  <si>
    <t>Flademir</t>
  </si>
  <si>
    <t>Nelson</t>
  </si>
  <si>
    <t>Romeu</t>
  </si>
  <si>
    <t>Bruno</t>
  </si>
  <si>
    <t>Cardoso</t>
  </si>
  <si>
    <t>Cronograma de execução - Ministerio da Fazenda</t>
  </si>
  <si>
    <t>Parcelamento - GPS</t>
  </si>
  <si>
    <t>13º</t>
  </si>
  <si>
    <t>14º</t>
  </si>
  <si>
    <t>15º</t>
  </si>
  <si>
    <t>16º</t>
  </si>
  <si>
    <t xml:space="preserve">1º </t>
  </si>
  <si>
    <t xml:space="preserve">2º </t>
  </si>
  <si>
    <t xml:space="preserve">3º </t>
  </si>
  <si>
    <t>RFB</t>
  </si>
  <si>
    <t>Custos e Despesas</t>
  </si>
  <si>
    <t>Parcelamento INSS</t>
  </si>
  <si>
    <t>Salários e Ordenados</t>
  </si>
  <si>
    <t>Consignação em Folha</t>
  </si>
  <si>
    <t>Rescisões de Contratos</t>
  </si>
  <si>
    <t>13º Salário</t>
  </si>
  <si>
    <t>Inss Descontado- Férias</t>
  </si>
  <si>
    <t>Serviços de Terceiros</t>
  </si>
  <si>
    <t>Serviços Médicos</t>
  </si>
  <si>
    <t>Serviços Convênio - Sim Saúde</t>
  </si>
  <si>
    <t>Serviços Convênio - Unimed</t>
  </si>
  <si>
    <t>Serviços Convênio - Correio</t>
  </si>
  <si>
    <t>Fgts</t>
  </si>
  <si>
    <t>Indenizações</t>
  </si>
  <si>
    <t>Assistencia Médica e Social</t>
  </si>
  <si>
    <t>Pis s/ Folha Salários</t>
  </si>
  <si>
    <t>Cozinha</t>
  </si>
  <si>
    <t>Issqn Retido - Medicamentos</t>
  </si>
  <si>
    <t>Rouparias</t>
  </si>
  <si>
    <t>Manutenção e Reparo</t>
  </si>
  <si>
    <t>Aquisição de Equipamentos</t>
  </si>
  <si>
    <t>Combustível</t>
  </si>
  <si>
    <t>Água e Esgoto</t>
  </si>
  <si>
    <t>Fretes e Carretos</t>
  </si>
  <si>
    <t>Impostos, Taxas e Contribuições</t>
  </si>
  <si>
    <t>Taxas Diverças</t>
  </si>
  <si>
    <t>Anuidades</t>
  </si>
  <si>
    <t>Contribuição Confederativa</t>
  </si>
  <si>
    <t>Despesas Geral</t>
  </si>
  <si>
    <t>Telefone</t>
  </si>
  <si>
    <t>Despesas Postais e Telegráficas</t>
  </si>
  <si>
    <t>Materiais de Escritório</t>
  </si>
  <si>
    <t>Assistencia Contábil</t>
  </si>
  <si>
    <t>Despesas c/ Festas e Decorações</t>
  </si>
  <si>
    <t>Despesas Locais e Juridiciais</t>
  </si>
  <si>
    <t>Grafica,Livros, Jornais e Revistas</t>
  </si>
  <si>
    <t>Contibuições e Doações</t>
  </si>
  <si>
    <t>Despesas c/ Viagens</t>
  </si>
  <si>
    <t>Internet</t>
  </si>
  <si>
    <t>Lanche e Refeições</t>
  </si>
  <si>
    <t>Confraternizações</t>
  </si>
  <si>
    <t xml:space="preserve">Manutenção e Assistencia </t>
  </si>
  <si>
    <t>Aquisição de Epi's</t>
  </si>
  <si>
    <t>Cursos de Aperfeiçoamento</t>
  </si>
  <si>
    <t>Plantas e Projetos</t>
  </si>
  <si>
    <t>Propagandas</t>
  </si>
  <si>
    <t>Janeiro</t>
  </si>
  <si>
    <t>Feveiro</t>
  </si>
  <si>
    <t>Março</t>
  </si>
  <si>
    <t>Abril</t>
  </si>
  <si>
    <t>Maio</t>
  </si>
  <si>
    <t>Folha de Pagamento</t>
  </si>
  <si>
    <t>Serviços Médicos - Prefeitura</t>
  </si>
  <si>
    <t xml:space="preserve">Serviços Laboratórios </t>
  </si>
  <si>
    <t>Lab.  Costa Rosa</t>
  </si>
  <si>
    <t>Telecardio - Televida</t>
  </si>
  <si>
    <t>Lab.  I Mello</t>
  </si>
  <si>
    <t>Lab.  São Francisco</t>
  </si>
  <si>
    <t>BrasilCard</t>
  </si>
  <si>
    <t>DAM - Issqn Retido</t>
  </si>
  <si>
    <t>Fevereiro</t>
  </si>
  <si>
    <t>Irrf</t>
  </si>
  <si>
    <t>Issqn</t>
  </si>
  <si>
    <t>Padaria</t>
  </si>
  <si>
    <t>Generos Alimenticios</t>
  </si>
  <si>
    <t>Material Limpeza</t>
  </si>
  <si>
    <t>Material Higiene</t>
  </si>
  <si>
    <t>Farmacia</t>
  </si>
  <si>
    <t>Gás</t>
  </si>
  <si>
    <t>Manutenção dos Equipamentos</t>
  </si>
  <si>
    <t>DARF - 0588</t>
  </si>
  <si>
    <t>DARF - 1708</t>
  </si>
  <si>
    <t>DARF - 0561</t>
  </si>
  <si>
    <t>DARF - 8301</t>
  </si>
  <si>
    <t>FGTS - 115</t>
  </si>
  <si>
    <t>GPS -2305</t>
  </si>
  <si>
    <t>Cronograma de Despesas</t>
  </si>
  <si>
    <t>Guias - Pendentes</t>
  </si>
  <si>
    <t>Junho</t>
  </si>
  <si>
    <t>Despesas - Fixas</t>
  </si>
  <si>
    <t xml:space="preserve">Material de Limpeza </t>
  </si>
  <si>
    <t>Material de Lavanderia</t>
  </si>
  <si>
    <t>Oxigenio</t>
  </si>
  <si>
    <t>Locação de Equipamento</t>
  </si>
  <si>
    <t>Medicamentos e Material</t>
  </si>
  <si>
    <t>Manutenção de Sistema</t>
  </si>
  <si>
    <t>Ação Trabalhista</t>
  </si>
  <si>
    <t>Internet e Equipamentos</t>
  </si>
  <si>
    <t>Grafica</t>
  </si>
  <si>
    <t>José Antonio</t>
  </si>
  <si>
    <t>Serviços Convênio - Cassems</t>
  </si>
  <si>
    <t>Multa Rescisora</t>
  </si>
  <si>
    <t>Limpeza Geral e Lavanderia</t>
  </si>
  <si>
    <t>Laboratorio - sus</t>
  </si>
  <si>
    <t>Aquisição e Manut. Rep/Equipamentos</t>
  </si>
  <si>
    <t>Assuduidade</t>
  </si>
  <si>
    <t>Insalubridade</t>
  </si>
  <si>
    <t>Horas Extras 50%</t>
  </si>
  <si>
    <t>Horas Extras 100%</t>
  </si>
  <si>
    <t>Reflexo Extras DSR</t>
  </si>
  <si>
    <t>Troco Mês</t>
  </si>
  <si>
    <t>Horas faltas</t>
  </si>
  <si>
    <t>Adicional Noturno</t>
  </si>
  <si>
    <t>Estorno - Troco Mês</t>
  </si>
  <si>
    <t>Auxilio Creche</t>
  </si>
  <si>
    <t>Gratificação</t>
  </si>
  <si>
    <t>Salários Maternidade</t>
  </si>
  <si>
    <t>Licença Maternidade</t>
  </si>
  <si>
    <t>Irrf Férias</t>
  </si>
  <si>
    <t>Adiantamento de Férias</t>
  </si>
  <si>
    <t xml:space="preserve">Férias </t>
  </si>
  <si>
    <t>Contribuição Sindical</t>
  </si>
  <si>
    <t>Horas Extras 60%</t>
  </si>
  <si>
    <t>Salários Família</t>
  </si>
  <si>
    <t>Processos</t>
  </si>
  <si>
    <t>Reclamações Trabalhista</t>
  </si>
  <si>
    <t>Transferencias</t>
  </si>
  <si>
    <t>Dep. d/c 651478-2  p/c 7.494-2</t>
  </si>
  <si>
    <t>Dep. d/c 7.494-2 p/c 8.219-8</t>
  </si>
  <si>
    <t>Parcelamento Caixa Economica Federal</t>
  </si>
  <si>
    <t>Dep. d/c CX p/c 8.219-8</t>
  </si>
  <si>
    <t>Adiantamento</t>
  </si>
  <si>
    <t>Palestra e Cursos</t>
  </si>
  <si>
    <t>Serviços Advocaticios</t>
  </si>
  <si>
    <t>Dep. d/c CX p/c 210-5</t>
  </si>
  <si>
    <t>Irrf 13º Salário</t>
  </si>
  <si>
    <t>Adiantamento 13º Salário</t>
  </si>
  <si>
    <t>jan</t>
  </si>
  <si>
    <t>mai</t>
  </si>
  <si>
    <t>fev</t>
  </si>
  <si>
    <t>mar</t>
  </si>
  <si>
    <t>abr</t>
  </si>
  <si>
    <t>Dep. d/c 65029-0  p/c 7.494-2</t>
  </si>
  <si>
    <t>Inss 13º Salário</t>
  </si>
  <si>
    <t>Dep. d/c CX p/c 7.655-4</t>
  </si>
  <si>
    <t>Brasilcard</t>
  </si>
  <si>
    <t xml:space="preserve">Locação </t>
  </si>
  <si>
    <t xml:space="preserve">Centro Imagem </t>
  </si>
  <si>
    <t>Desc.Adiantamento</t>
  </si>
  <si>
    <t>Periculosidade</t>
  </si>
  <si>
    <t>Anuidades - ProRad</t>
  </si>
  <si>
    <t>Mensalidades Aciita</t>
  </si>
  <si>
    <t>Abr</t>
  </si>
  <si>
    <t>Dep. d/c 7.494-2 p/c 17.231-6</t>
  </si>
  <si>
    <t>Cronograma de execução</t>
  </si>
  <si>
    <t>Receitas /Despesas</t>
  </si>
  <si>
    <t>Receitas</t>
  </si>
  <si>
    <t>Crédito - HPP</t>
  </si>
  <si>
    <t>Crédito - Prefeitura</t>
  </si>
  <si>
    <t>Crédito - Sim Saúde</t>
  </si>
  <si>
    <t>Crédito - Particular</t>
  </si>
  <si>
    <t xml:space="preserve">Irrf  </t>
  </si>
  <si>
    <t xml:space="preserve">Inss </t>
  </si>
  <si>
    <t>Darf,Guias,Fgts</t>
  </si>
  <si>
    <t>Gps -2305</t>
  </si>
  <si>
    <t>Fgts - 115</t>
  </si>
  <si>
    <t>Darf - 0588</t>
  </si>
  <si>
    <t>Darf - 1708</t>
  </si>
  <si>
    <t>Darf - 0561</t>
  </si>
  <si>
    <t>Darf - 8301</t>
  </si>
  <si>
    <t>1º Parc - 610779753</t>
  </si>
  <si>
    <t>2º Parc - 611302438</t>
  </si>
  <si>
    <t>3º Parc - 613390199</t>
  </si>
  <si>
    <t>Parcelamento - Cef</t>
  </si>
  <si>
    <t>Pacelamento - Hpp</t>
  </si>
  <si>
    <t>Material de Uso e Cons. - Oxigenio</t>
  </si>
  <si>
    <t>Medicamentos e Material  Hosp.</t>
  </si>
  <si>
    <t>Reforma</t>
  </si>
  <si>
    <t>Dep. d/c 651478-2  p/c 8.219,8</t>
  </si>
  <si>
    <t>Horas Férias,Med. Valor,H,Vant.,1/3 Férias,Troco</t>
  </si>
  <si>
    <t>Receita</t>
  </si>
  <si>
    <t>Despesas</t>
  </si>
  <si>
    <t>Crédito - Caixa Econ. Federal</t>
  </si>
  <si>
    <t>Saldo Anterior</t>
  </si>
  <si>
    <t>Material de Uso e Cons. -Oxigenio</t>
  </si>
  <si>
    <t>Crédito - Cassems</t>
  </si>
  <si>
    <t>Cronograma de Despesas (Encargos)</t>
  </si>
  <si>
    <t>Cronograma de Despesas ( Fornecedores )</t>
  </si>
  <si>
    <t xml:space="preserve"> Fixas</t>
  </si>
  <si>
    <t>Crédito - Integrassus</t>
  </si>
  <si>
    <t xml:space="preserve"> Planilha de Receitas e Despesas</t>
  </si>
  <si>
    <t xml:space="preserve">Receitas </t>
  </si>
  <si>
    <t>Contribuição Assistencial</t>
  </si>
  <si>
    <t>Med e Oxi</t>
  </si>
  <si>
    <t>Material,</t>
  </si>
  <si>
    <t>Aliment, Gas,</t>
  </si>
  <si>
    <t>Lav, Limp</t>
  </si>
  <si>
    <t>Toniazzo</t>
  </si>
  <si>
    <t xml:space="preserve">Cronograma de execução </t>
  </si>
  <si>
    <t>Julho</t>
  </si>
  <si>
    <t>Agosto</t>
  </si>
  <si>
    <t>-</t>
  </si>
  <si>
    <t>Pis</t>
  </si>
  <si>
    <t>Confins</t>
  </si>
  <si>
    <t>Inss</t>
  </si>
  <si>
    <t>Csll</t>
  </si>
  <si>
    <t>Hector</t>
  </si>
  <si>
    <t>Francisco</t>
  </si>
  <si>
    <t xml:space="preserve">Cronograma de Despesas  </t>
  </si>
  <si>
    <t>Lavanderia</t>
  </si>
  <si>
    <t>Média/Mês</t>
  </si>
  <si>
    <t>Medicamentos / Material</t>
  </si>
  <si>
    <t>Assessoria e Consultoria</t>
  </si>
  <si>
    <t>Assistência Contábil</t>
  </si>
  <si>
    <t>Serviços Laboratóriais</t>
  </si>
  <si>
    <t>Cozinha/Gás</t>
  </si>
  <si>
    <t>Salário</t>
  </si>
  <si>
    <t>Total (12 Meses)</t>
  </si>
  <si>
    <t>Cronograma de Receitas - Federal /Estadual</t>
  </si>
  <si>
    <t>Cronograma de Receitas - Federal/Estadual/Municipal</t>
  </si>
  <si>
    <t>Estadual</t>
  </si>
  <si>
    <t>Federal</t>
  </si>
  <si>
    <t>Municipal</t>
  </si>
  <si>
    <t>Combustivel/Desp Viagem</t>
  </si>
  <si>
    <t>Prestação de Serviços</t>
  </si>
  <si>
    <t>Federações /Conselhos</t>
  </si>
  <si>
    <t xml:space="preserve">Serviços Medicos </t>
  </si>
  <si>
    <t>Material Escritorio/Grafica</t>
  </si>
  <si>
    <t>Indenização Judicial</t>
  </si>
  <si>
    <t>VALOR MENSAL</t>
  </si>
  <si>
    <t>VALOR ANUAL</t>
  </si>
  <si>
    <t xml:space="preserve"> SANTA CASA DE MISERICORDIA DE PARANAIBA</t>
  </si>
  <si>
    <t>CNPJ: 03.163.888/0001-71</t>
  </si>
  <si>
    <t xml:space="preserve">  SANTA CASA DE MISERICORDIA DE PARANAIBA</t>
  </si>
  <si>
    <t xml:space="preserve">    SANTA CASA DE MISERICORDIA DE PARANAIBA</t>
  </si>
  <si>
    <t>Despesas Administrativas</t>
  </si>
  <si>
    <t>Despesas Financeiras</t>
  </si>
  <si>
    <t>Manutenção Predial/Equipamentos</t>
  </si>
  <si>
    <t>Limpeza/Higiene</t>
  </si>
  <si>
    <t>Fundada em 04 de maio de 1972</t>
  </si>
  <si>
    <t>CEBAS: LEI Nº 12101 DE 27/11/2009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</si>
</sst>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_);_(* \(#,##0\);_(* &quot;-&quot;??_);_(@_)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.8"/>
      <color theme="1"/>
      <name val="Comic Sans MS"/>
      <family val="4"/>
    </font>
    <font>
      <sz val="10.8"/>
      <color theme="1"/>
      <name val="Comic Sans MS"/>
      <family val="4"/>
    </font>
    <font>
      <sz val="11"/>
      <color theme="1"/>
      <name val="Comic Sans MS"/>
      <family val="4"/>
    </font>
    <font>
      <sz val="14"/>
      <color theme="1"/>
      <name val="Comic Sans MS"/>
      <family val="4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8"/>
      <color theme="1"/>
      <name val="Comic Sans MS"/>
      <family val="4"/>
    </font>
    <font>
      <b/>
      <sz val="11"/>
      <color theme="1"/>
      <name val="Comic Sans MS"/>
      <family val="4"/>
    </font>
    <font>
      <b/>
      <sz val="12"/>
      <color theme="1"/>
      <name val="Comic Sans MS"/>
      <family val="4"/>
    </font>
    <font>
      <sz val="18"/>
      <color theme="1"/>
      <name val="Comic Sans MS"/>
      <family val="4"/>
    </font>
    <font>
      <b/>
      <sz val="14"/>
      <color theme="1"/>
      <name val="Calibri"/>
      <family val="2"/>
      <scheme val="minor"/>
    </font>
    <font>
      <b/>
      <sz val="14"/>
      <color theme="1"/>
      <name val="Comic Sans MS"/>
      <family val="4"/>
    </font>
    <font>
      <b/>
      <sz val="2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20"/>
      <color rgb="FF002060"/>
      <name val="Arial"/>
      <family val="2"/>
    </font>
    <font>
      <sz val="11"/>
      <color rgb="FF002060"/>
      <name val="Calibri"/>
      <family val="2"/>
      <scheme val="minor"/>
    </font>
    <font>
      <sz val="8"/>
      <color rgb="FF002060"/>
      <name val="Arial"/>
      <family val="2"/>
    </font>
    <font>
      <sz val="8"/>
      <color rgb="FF002060"/>
      <name val="Calibri"/>
      <family val="2"/>
      <scheme val="minor"/>
    </font>
    <font>
      <b/>
      <sz val="24"/>
      <color rgb="FF002060"/>
      <name val="Calibri"/>
      <family val="2"/>
      <scheme val="minor"/>
    </font>
    <font>
      <b/>
      <u/>
      <sz val="24"/>
      <color rgb="FF002060"/>
      <name val="Calibri"/>
      <family val="2"/>
      <scheme val="minor"/>
    </font>
    <font>
      <sz val="11"/>
      <color rgb="FF002060"/>
      <name val="Comic Sans MS"/>
      <family val="4"/>
    </font>
    <font>
      <b/>
      <sz val="10.8"/>
      <color rgb="FF002060"/>
      <name val="Comic Sans MS"/>
      <family val="4"/>
    </font>
    <font>
      <b/>
      <sz val="11"/>
      <color rgb="FF002060"/>
      <name val="Calibri"/>
      <family val="2"/>
      <scheme val="minor"/>
    </font>
    <font>
      <sz val="10.8"/>
      <color rgb="FF002060"/>
      <name val="Comic Sans MS"/>
      <family val="4"/>
    </font>
    <font>
      <sz val="11"/>
      <color rgb="FF002060"/>
      <name val="Arial"/>
      <family val="2"/>
    </font>
    <font>
      <b/>
      <sz val="18"/>
      <color rgb="FF002060"/>
      <name val="Calibri"/>
      <family val="2"/>
      <scheme val="minor"/>
    </font>
    <font>
      <b/>
      <u/>
      <sz val="22"/>
      <color rgb="FF002060"/>
      <name val="Calibri"/>
      <family val="2"/>
      <scheme val="minor"/>
    </font>
    <font>
      <sz val="16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rgb="FF002060"/>
      <name val="Comic Sans MS"/>
      <family val="4"/>
    </font>
    <font>
      <b/>
      <sz val="12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color rgb="FF002060"/>
      <name val="Calibri"/>
      <family val="2"/>
      <scheme val="minor"/>
    </font>
    <font>
      <b/>
      <sz val="14"/>
      <color rgb="FF002060"/>
      <name val="Comic Sans MS"/>
      <family val="4"/>
    </font>
    <font>
      <b/>
      <sz val="14"/>
      <color rgb="FF002060"/>
      <name val="Calibri"/>
      <family val="2"/>
      <scheme val="minor"/>
    </font>
    <font>
      <sz val="24"/>
      <color rgb="FF002060"/>
      <name val="Arial"/>
      <family val="2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.8"/>
      <color theme="3"/>
      <name val="Comic Sans MS"/>
      <family val="4"/>
    </font>
    <font>
      <sz val="11"/>
      <color theme="3"/>
      <name val="Calibri"/>
      <family val="2"/>
      <scheme val="minor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5FAC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15B3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27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0" xfId="0" applyFill="1"/>
    <xf numFmtId="164" fontId="0" fillId="2" borderId="0" xfId="1" applyFont="1" applyFill="1"/>
    <xf numFmtId="164" fontId="2" fillId="0" borderId="0" xfId="0" applyNumberFormat="1" applyFont="1"/>
    <xf numFmtId="0" fontId="2" fillId="0" borderId="0" xfId="0" applyFont="1" applyBorder="1"/>
    <xf numFmtId="0" fontId="2" fillId="2" borderId="0" xfId="0" applyFont="1" applyFill="1"/>
    <xf numFmtId="164" fontId="2" fillId="0" borderId="0" xfId="0" applyNumberFormat="1" applyFont="1" applyAlignment="1">
      <alignment horizontal="center"/>
    </xf>
    <xf numFmtId="164" fontId="2" fillId="2" borderId="0" xfId="0" applyNumberFormat="1" applyFont="1" applyFill="1"/>
    <xf numFmtId="164" fontId="2" fillId="2" borderId="0" xfId="0" applyNumberFormat="1" applyFont="1" applyFill="1" applyBorder="1"/>
    <xf numFmtId="0" fontId="2" fillId="2" borderId="0" xfId="0" applyFont="1" applyFill="1" applyBorder="1"/>
    <xf numFmtId="164" fontId="2" fillId="0" borderId="0" xfId="1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6" fillId="0" borderId="0" xfId="0" applyFont="1"/>
    <xf numFmtId="166" fontId="0" fillId="0" borderId="0" xfId="2" applyNumberFormat="1" applyFont="1"/>
    <xf numFmtId="166" fontId="0" fillId="0" borderId="0" xfId="2" applyNumberFormat="1" applyFont="1" applyAlignment="1">
      <alignment horizontal="center"/>
    </xf>
    <xf numFmtId="166" fontId="2" fillId="3" borderId="0" xfId="2" applyNumberFormat="1" applyFont="1" applyFill="1" applyBorder="1"/>
    <xf numFmtId="0" fontId="2" fillId="3" borderId="0" xfId="0" applyFont="1" applyFill="1" applyBorder="1"/>
    <xf numFmtId="0" fontId="2" fillId="3" borderId="0" xfId="0" applyFont="1" applyFill="1"/>
    <xf numFmtId="164" fontId="0" fillId="3" borderId="0" xfId="1" applyFont="1" applyFill="1"/>
    <xf numFmtId="0" fontId="0" fillId="3" borderId="0" xfId="0" applyFill="1"/>
    <xf numFmtId="164" fontId="2" fillId="0" borderId="0" xfId="1" applyFont="1" applyAlignment="1">
      <alignment horizontal="center"/>
    </xf>
    <xf numFmtId="166" fontId="2" fillId="0" borderId="0" xfId="2" applyNumberFormat="1" applyFont="1"/>
    <xf numFmtId="164" fontId="2" fillId="4" borderId="0" xfId="0" applyNumberFormat="1" applyFont="1" applyFill="1" applyBorder="1"/>
    <xf numFmtId="0" fontId="2" fillId="4" borderId="0" xfId="0" applyFont="1" applyFill="1"/>
    <xf numFmtId="164" fontId="0" fillId="4" borderId="0" xfId="1" applyFont="1" applyFill="1"/>
    <xf numFmtId="0" fontId="0" fillId="5" borderId="0" xfId="0" applyFill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164" fontId="0" fillId="5" borderId="0" xfId="1" applyFont="1" applyFill="1"/>
    <xf numFmtId="0" fontId="2" fillId="5" borderId="0" xfId="0" applyFont="1" applyFill="1" applyBorder="1"/>
    <xf numFmtId="0" fontId="2" fillId="4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166" fontId="0" fillId="0" borderId="0" xfId="2" applyNumberFormat="1" applyFont="1" applyAlignment="1">
      <alignment horizontal="left"/>
    </xf>
    <xf numFmtId="0" fontId="4" fillId="0" borderId="0" xfId="0" applyFont="1" applyAlignment="1">
      <alignment horizontal="center"/>
    </xf>
    <xf numFmtId="164" fontId="9" fillId="0" borderId="0" xfId="1" applyFont="1"/>
    <xf numFmtId="0" fontId="11" fillId="0" borderId="1" xfId="0" applyFont="1" applyBorder="1" applyAlignment="1"/>
    <xf numFmtId="0" fontId="11" fillId="0" borderId="1" xfId="0" applyFont="1" applyBorder="1" applyAlignment="1">
      <alignment horizontal="left"/>
    </xf>
    <xf numFmtId="0" fontId="12" fillId="0" borderId="1" xfId="0" applyFont="1" applyBorder="1" applyAlignment="1"/>
    <xf numFmtId="0" fontId="13" fillId="7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right"/>
    </xf>
    <xf numFmtId="0" fontId="10" fillId="2" borderId="1" xfId="0" applyFont="1" applyFill="1" applyBorder="1" applyAlignment="1"/>
    <xf numFmtId="166" fontId="2" fillId="6" borderId="0" xfId="2" applyNumberFormat="1" applyFont="1" applyFill="1" applyBorder="1"/>
    <xf numFmtId="0" fontId="2" fillId="6" borderId="0" xfId="0" applyFont="1" applyFill="1" applyBorder="1"/>
    <xf numFmtId="164" fontId="0" fillId="6" borderId="0" xfId="1" applyFont="1" applyFill="1"/>
    <xf numFmtId="0" fontId="0" fillId="6" borderId="0" xfId="0" applyFill="1"/>
    <xf numFmtId="0" fontId="2" fillId="6" borderId="0" xfId="0" applyFont="1" applyFill="1"/>
    <xf numFmtId="164" fontId="2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164" fontId="2" fillId="6" borderId="0" xfId="1" applyFont="1" applyFill="1" applyBorder="1"/>
    <xf numFmtId="164" fontId="2" fillId="8" borderId="0" xfId="0" applyNumberFormat="1" applyFont="1" applyFill="1" applyBorder="1"/>
    <xf numFmtId="0" fontId="2" fillId="8" borderId="0" xfId="0" applyFont="1" applyFill="1"/>
    <xf numFmtId="164" fontId="0" fillId="8" borderId="0" xfId="1" applyFont="1" applyFill="1"/>
    <xf numFmtId="0" fontId="2" fillId="8" borderId="0" xfId="0" applyFont="1" applyFill="1" applyAlignment="1">
      <alignment horizontal="center"/>
    </xf>
    <xf numFmtId="164" fontId="1" fillId="0" borderId="0" xfId="1" applyFont="1"/>
    <xf numFmtId="0" fontId="1" fillId="5" borderId="0" xfId="0" applyFont="1" applyFill="1"/>
    <xf numFmtId="0" fontId="1" fillId="0" borderId="0" xfId="0" applyFont="1"/>
    <xf numFmtId="166" fontId="2" fillId="0" borderId="0" xfId="2" applyNumberFormat="1" applyFont="1" applyAlignment="1"/>
    <xf numFmtId="0" fontId="5" fillId="0" borderId="0" xfId="0" applyFont="1" applyAlignment="1"/>
    <xf numFmtId="0" fontId="8" fillId="0" borderId="0" xfId="0" applyFont="1" applyAlignment="1"/>
    <xf numFmtId="0" fontId="16" fillId="0" borderId="0" xfId="0" applyFont="1" applyAlignment="1">
      <alignment horizontal="center"/>
    </xf>
    <xf numFmtId="0" fontId="17" fillId="0" borderId="1" xfId="0" applyFont="1" applyBorder="1" applyAlignment="1"/>
    <xf numFmtId="164" fontId="2" fillId="5" borderId="0" xfId="0" applyNumberFormat="1" applyFont="1" applyFill="1" applyBorder="1"/>
    <xf numFmtId="164" fontId="2" fillId="5" borderId="0" xfId="1" applyFont="1" applyFill="1"/>
    <xf numFmtId="0" fontId="13" fillId="5" borderId="1" xfId="0" applyFont="1" applyFill="1" applyBorder="1" applyAlignment="1">
      <alignment horizontal="center"/>
    </xf>
    <xf numFmtId="164" fontId="2" fillId="5" borderId="0" xfId="0" applyNumberFormat="1" applyFont="1" applyFill="1" applyAlignment="1">
      <alignment horizontal="center"/>
    </xf>
    <xf numFmtId="0" fontId="12" fillId="5" borderId="1" xfId="0" applyFont="1" applyFill="1" applyBorder="1" applyAlignment="1">
      <alignment horizontal="left"/>
    </xf>
    <xf numFmtId="164" fontId="0" fillId="5" borderId="0" xfId="0" applyNumberFormat="1" applyFont="1" applyFill="1" applyBorder="1"/>
    <xf numFmtId="164" fontId="1" fillId="2" borderId="0" xfId="1" applyFont="1" applyFill="1"/>
    <xf numFmtId="0" fontId="0" fillId="0" borderId="0" xfId="0" applyFont="1"/>
    <xf numFmtId="164" fontId="2" fillId="5" borderId="0" xfId="0" applyNumberFormat="1" applyFont="1" applyFill="1"/>
    <xf numFmtId="0" fontId="10" fillId="5" borderId="1" xfId="0" applyFont="1" applyFill="1" applyBorder="1" applyAlignment="1">
      <alignment horizontal="right"/>
    </xf>
    <xf numFmtId="164" fontId="1" fillId="5" borderId="0" xfId="1" applyFont="1" applyFill="1"/>
    <xf numFmtId="164" fontId="2" fillId="9" borderId="0" xfId="0" applyNumberFormat="1" applyFont="1" applyFill="1"/>
    <xf numFmtId="0" fontId="0" fillId="5" borderId="0" xfId="0" applyFont="1" applyFill="1"/>
    <xf numFmtId="164" fontId="2" fillId="9" borderId="0" xfId="1" applyFont="1" applyFill="1"/>
    <xf numFmtId="164" fontId="2" fillId="9" borderId="0" xfId="0" applyNumberFormat="1" applyFont="1" applyFill="1" applyBorder="1"/>
    <xf numFmtId="164" fontId="0" fillId="9" borderId="0" xfId="0" applyNumberFormat="1" applyFont="1" applyFill="1" applyBorder="1"/>
    <xf numFmtId="164" fontId="2" fillId="9" borderId="0" xfId="0" applyNumberFormat="1" applyFont="1" applyFill="1" applyAlignment="1">
      <alignment horizontal="center"/>
    </xf>
    <xf numFmtId="0" fontId="0" fillId="5" borderId="0" xfId="0" applyFont="1" applyFill="1" applyBorder="1"/>
    <xf numFmtId="164" fontId="2" fillId="2" borderId="0" xfId="0" applyNumberFormat="1" applyFont="1" applyFill="1" applyBorder="1" applyAlignment="1">
      <alignment horizontal="center"/>
    </xf>
    <xf numFmtId="164" fontId="2" fillId="9" borderId="0" xfId="0" applyNumberFormat="1" applyFont="1" applyFill="1" applyBorder="1" applyAlignment="1">
      <alignment horizontal="center"/>
    </xf>
    <xf numFmtId="166" fontId="18" fillId="0" borderId="0" xfId="2" applyNumberFormat="1" applyFont="1" applyAlignment="1"/>
    <xf numFmtId="0" fontId="18" fillId="2" borderId="1" xfId="0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2" fillId="0" borderId="2" xfId="2" applyNumberFormat="1" applyFont="1" applyBorder="1" applyAlignment="1"/>
    <xf numFmtId="0" fontId="18" fillId="0" borderId="2" xfId="0" applyNumberFormat="1" applyFont="1" applyBorder="1" applyAlignment="1">
      <alignment horizontal="right"/>
    </xf>
    <xf numFmtId="0" fontId="16" fillId="0" borderId="0" xfId="0" applyFont="1"/>
    <xf numFmtId="0" fontId="18" fillId="8" borderId="0" xfId="0" applyFont="1" applyFill="1"/>
    <xf numFmtId="164" fontId="12" fillId="0" borderId="0" xfId="1" applyFont="1"/>
    <xf numFmtId="0" fontId="12" fillId="5" borderId="0" xfId="0" applyFont="1" applyFill="1"/>
    <xf numFmtId="166" fontId="12" fillId="0" borderId="0" xfId="2" applyNumberFormat="1" applyFont="1" applyAlignment="1">
      <alignment horizontal="left"/>
    </xf>
    <xf numFmtId="0" fontId="12" fillId="0" borderId="0" xfId="0" applyFont="1"/>
    <xf numFmtId="0" fontId="18" fillId="0" borderId="0" xfId="0" applyFont="1"/>
    <xf numFmtId="164" fontId="12" fillId="8" borderId="0" xfId="1" applyFont="1" applyFill="1"/>
    <xf numFmtId="166" fontId="18" fillId="0" borderId="0" xfId="2" applyNumberFormat="1" applyFont="1"/>
    <xf numFmtId="164" fontId="18" fillId="0" borderId="0" xfId="1" applyFont="1"/>
    <xf numFmtId="0" fontId="18" fillId="5" borderId="0" xfId="0" applyFont="1" applyFill="1"/>
    <xf numFmtId="0" fontId="12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/>
    <xf numFmtId="0" fontId="18" fillId="8" borderId="0" xfId="0" applyFont="1" applyFill="1" applyAlignment="1">
      <alignment horizontal="center"/>
    </xf>
    <xf numFmtId="0" fontId="18" fillId="5" borderId="0" xfId="0" applyFont="1" applyFill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164" fontId="18" fillId="8" borderId="0" xfId="0" applyNumberFormat="1" applyFont="1" applyFill="1" applyBorder="1"/>
    <xf numFmtId="0" fontId="18" fillId="5" borderId="0" xfId="0" applyFont="1" applyFill="1" applyBorder="1"/>
    <xf numFmtId="0" fontId="10" fillId="5" borderId="1" xfId="0" applyFont="1" applyFill="1" applyBorder="1" applyAlignment="1">
      <alignment horizontal="left"/>
    </xf>
    <xf numFmtId="0" fontId="11" fillId="5" borderId="1" xfId="0" applyFont="1" applyFill="1" applyBorder="1" applyAlignment="1"/>
    <xf numFmtId="0" fontId="2" fillId="0" borderId="0" xfId="0" applyFont="1" applyAlignment="1">
      <alignment horizontal="right"/>
    </xf>
    <xf numFmtId="164" fontId="18" fillId="5" borderId="0" xfId="1" applyFont="1" applyFill="1" applyAlignment="1">
      <alignment horizontal="center"/>
    </xf>
    <xf numFmtId="164" fontId="18" fillId="0" borderId="0" xfId="1" applyFont="1" applyAlignment="1">
      <alignment horizontal="center"/>
    </xf>
    <xf numFmtId="0" fontId="10" fillId="5" borderId="0" xfId="0" applyFont="1" applyFill="1" applyBorder="1" applyAlignment="1">
      <alignment horizontal="right"/>
    </xf>
    <xf numFmtId="0" fontId="10" fillId="5" borderId="0" xfId="0" applyFont="1" applyFill="1" applyBorder="1" applyAlignment="1">
      <alignment horizontal="left"/>
    </xf>
    <xf numFmtId="0" fontId="11" fillId="5" borderId="0" xfId="0" applyFont="1" applyFill="1" applyBorder="1" applyAlignment="1"/>
    <xf numFmtId="0" fontId="0" fillId="5" borderId="0" xfId="0" applyFill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13" fillId="7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left"/>
    </xf>
    <xf numFmtId="0" fontId="13" fillId="5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0" borderId="0" xfId="0" applyFont="1" applyBorder="1" applyAlignment="1"/>
    <xf numFmtId="0" fontId="17" fillId="0" borderId="0" xfId="0" applyFont="1" applyBorder="1" applyAlignment="1"/>
    <xf numFmtId="0" fontId="11" fillId="0" borderId="0" xfId="0" applyFont="1" applyBorder="1" applyAlignment="1">
      <alignment horizontal="left"/>
    </xf>
    <xf numFmtId="0" fontId="18" fillId="2" borderId="0" xfId="0" applyFont="1" applyFill="1" applyBorder="1" applyAlignment="1">
      <alignment horizontal="left"/>
    </xf>
    <xf numFmtId="0" fontId="12" fillId="0" borderId="0" xfId="2" applyNumberFormat="1" applyFont="1" applyBorder="1" applyAlignment="1"/>
    <xf numFmtId="0" fontId="18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2" borderId="0" xfId="0" applyFont="1" applyFill="1" applyBorder="1" applyAlignment="1"/>
    <xf numFmtId="17" fontId="2" fillId="0" borderId="0" xfId="0" applyNumberFormat="1" applyFont="1" applyAlignment="1">
      <alignment horizontal="center"/>
    </xf>
    <xf numFmtId="164" fontId="2" fillId="5" borderId="0" xfId="1" applyFont="1" applyFill="1" applyAlignment="1">
      <alignment horizontal="center"/>
    </xf>
    <xf numFmtId="164" fontId="21" fillId="8" borderId="0" xfId="0" applyNumberFormat="1" applyFont="1" applyFill="1"/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vertical="top"/>
    </xf>
    <xf numFmtId="0" fontId="18" fillId="0" borderId="0" xfId="0" applyFont="1" applyBorder="1" applyAlignment="1"/>
    <xf numFmtId="0" fontId="19" fillId="0" borderId="0" xfId="0" applyFont="1" applyAlignment="1">
      <alignment horizontal="right"/>
    </xf>
    <xf numFmtId="164" fontId="18" fillId="8" borderId="0" xfId="0" applyNumberFormat="1" applyFont="1" applyFill="1" applyAlignment="1">
      <alignment horizontal="center"/>
    </xf>
    <xf numFmtId="164" fontId="18" fillId="8" borderId="0" xfId="1" applyFont="1" applyFill="1"/>
    <xf numFmtId="0" fontId="22" fillId="8" borderId="0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22" fillId="8" borderId="0" xfId="0" applyFont="1" applyFill="1" applyAlignment="1">
      <alignment horizontal="center"/>
    </xf>
    <xf numFmtId="17" fontId="2" fillId="5" borderId="0" xfId="0" applyNumberFormat="1" applyFont="1" applyFill="1" applyAlignment="1">
      <alignment horizontal="center"/>
    </xf>
    <xf numFmtId="17" fontId="2" fillId="9" borderId="0" xfId="0" applyNumberFormat="1" applyFont="1" applyFill="1" applyAlignment="1">
      <alignment horizontal="center"/>
    </xf>
    <xf numFmtId="0" fontId="2" fillId="9" borderId="0" xfId="0" applyFont="1" applyFill="1" applyAlignment="1">
      <alignment horizontal="center"/>
    </xf>
    <xf numFmtId="164" fontId="24" fillId="0" borderId="0" xfId="1" applyFont="1" applyAlignment="1">
      <alignment horizontal="center"/>
    </xf>
    <xf numFmtId="16" fontId="0" fillId="0" borderId="0" xfId="0" applyNumberFormat="1"/>
    <xf numFmtId="166" fontId="0" fillId="0" borderId="0" xfId="0" applyNumberFormat="1"/>
    <xf numFmtId="0" fontId="25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Alignment="1"/>
    <xf numFmtId="4" fontId="0" fillId="0" borderId="0" xfId="0" applyNumberFormat="1"/>
    <xf numFmtId="164" fontId="0" fillId="0" borderId="0" xfId="0" applyNumberFormat="1"/>
    <xf numFmtId="4" fontId="26" fillId="0" borderId="0" xfId="0" applyNumberFormat="1" applyFont="1"/>
    <xf numFmtId="0" fontId="26" fillId="0" borderId="0" xfId="0" applyFont="1"/>
    <xf numFmtId="164" fontId="27" fillId="0" borderId="0" xfId="1" applyFont="1"/>
    <xf numFmtId="0" fontId="28" fillId="2" borderId="0" xfId="0" applyFont="1" applyFill="1"/>
    <xf numFmtId="0" fontId="27" fillId="0" borderId="0" xfId="0" applyFont="1"/>
    <xf numFmtId="164" fontId="28" fillId="2" borderId="0" xfId="0" applyNumberFormat="1" applyFont="1" applyFill="1"/>
    <xf numFmtId="164" fontId="29" fillId="0" borderId="0" xfId="1" applyFont="1"/>
    <xf numFmtId="0" fontId="24" fillId="2" borderId="0" xfId="0" applyFont="1" applyFill="1"/>
    <xf numFmtId="0" fontId="29" fillId="0" borderId="0" xfId="0" applyFont="1"/>
    <xf numFmtId="164" fontId="24" fillId="2" borderId="0" xfId="0" applyNumberFormat="1" applyFont="1" applyFill="1"/>
    <xf numFmtId="164" fontId="0" fillId="10" borderId="0" xfId="1" applyFont="1" applyFill="1"/>
    <xf numFmtId="164" fontId="26" fillId="0" borderId="0" xfId="1" applyFont="1"/>
    <xf numFmtId="0" fontId="30" fillId="2" borderId="0" xfId="0" applyFont="1" applyFill="1"/>
    <xf numFmtId="164" fontId="30" fillId="2" borderId="0" xfId="0" applyNumberFormat="1" applyFont="1" applyFill="1"/>
    <xf numFmtId="164" fontId="31" fillId="0" borderId="0" xfId="1" applyFont="1"/>
    <xf numFmtId="0" fontId="31" fillId="2" borderId="0" xfId="0" applyFont="1" applyFill="1"/>
    <xf numFmtId="0" fontId="31" fillId="0" borderId="0" xfId="0" applyFont="1"/>
    <xf numFmtId="164" fontId="31" fillId="2" borderId="0" xfId="0" applyNumberFormat="1" applyFont="1" applyFill="1"/>
    <xf numFmtId="164" fontId="32" fillId="0" borderId="0" xfId="1" applyFont="1"/>
    <xf numFmtId="0" fontId="33" fillId="2" borderId="0" xfId="0" applyFont="1" applyFill="1"/>
    <xf numFmtId="0" fontId="32" fillId="0" borderId="0" xfId="0" applyFont="1"/>
    <xf numFmtId="164" fontId="33" fillId="2" borderId="0" xfId="0" applyNumberFormat="1" applyFont="1" applyFill="1"/>
    <xf numFmtId="0" fontId="34" fillId="5" borderId="0" xfId="0" applyFont="1" applyFill="1"/>
    <xf numFmtId="0" fontId="34" fillId="5" borderId="0" xfId="0" applyFont="1" applyFill="1" applyAlignment="1">
      <alignment horizontal="center"/>
    </xf>
    <xf numFmtId="0" fontId="34" fillId="5" borderId="0" xfId="0" applyFont="1" applyFill="1" applyAlignment="1"/>
    <xf numFmtId="164" fontId="2" fillId="12" borderId="0" xfId="1" applyFont="1" applyFill="1"/>
    <xf numFmtId="164" fontId="2" fillId="12" borderId="0" xfId="1" applyFont="1" applyFill="1" applyAlignment="1">
      <alignment horizontal="left"/>
    </xf>
    <xf numFmtId="164" fontId="2" fillId="11" borderId="0" xfId="1" applyFont="1" applyFill="1" applyAlignment="1">
      <alignment horizontal="left"/>
    </xf>
    <xf numFmtId="164" fontId="35" fillId="11" borderId="0" xfId="1" applyFont="1" applyFill="1" applyAlignment="1">
      <alignment horizontal="center"/>
    </xf>
    <xf numFmtId="164" fontId="35" fillId="12" borderId="0" xfId="1" applyFont="1" applyFill="1" applyAlignment="1">
      <alignment horizontal="center"/>
    </xf>
    <xf numFmtId="164" fontId="2" fillId="11" borderId="0" xfId="1" applyFont="1" applyFill="1"/>
    <xf numFmtId="164" fontId="2" fillId="6" borderId="0" xfId="1" applyFont="1" applyFill="1" applyAlignment="1">
      <alignment horizontal="left"/>
    </xf>
    <xf numFmtId="164" fontId="2" fillId="13" borderId="0" xfId="1" applyFont="1" applyFill="1" applyAlignment="1">
      <alignment horizontal="center"/>
    </xf>
    <xf numFmtId="164" fontId="2" fillId="13" borderId="0" xfId="1" applyFont="1" applyFill="1" applyAlignment="1">
      <alignment horizontal="left"/>
    </xf>
    <xf numFmtId="164" fontId="2" fillId="13" borderId="0" xfId="1" applyFont="1" applyFill="1"/>
    <xf numFmtId="164" fontId="2" fillId="14" borderId="0" xfId="1" applyFont="1" applyFill="1" applyAlignment="1">
      <alignment horizontal="left"/>
    </xf>
    <xf numFmtId="164" fontId="35" fillId="14" borderId="0" xfId="1" applyFont="1" applyFill="1" applyAlignment="1">
      <alignment horizontal="center"/>
    </xf>
    <xf numFmtId="164" fontId="2" fillId="14" borderId="0" xfId="1" applyFont="1" applyFill="1"/>
    <xf numFmtId="164" fontId="2" fillId="15" borderId="0" xfId="1" applyFont="1" applyFill="1" applyAlignment="1">
      <alignment horizontal="left"/>
    </xf>
    <xf numFmtId="164" fontId="2" fillId="2" borderId="0" xfId="1" applyFont="1" applyFill="1" applyAlignment="1">
      <alignment horizontal="left"/>
    </xf>
    <xf numFmtId="164" fontId="35" fillId="6" borderId="0" xfId="1" applyFont="1" applyFill="1" applyAlignment="1">
      <alignment horizontal="center"/>
    </xf>
    <xf numFmtId="164" fontId="2" fillId="6" borderId="0" xfId="1" applyFont="1" applyFill="1"/>
    <xf numFmtId="164" fontId="35" fillId="2" borderId="0" xfId="1" applyFont="1" applyFill="1" applyAlignment="1">
      <alignment horizontal="center"/>
    </xf>
    <xf numFmtId="164" fontId="2" fillId="2" borderId="0" xfId="1" applyFont="1" applyFill="1"/>
    <xf numFmtId="164" fontId="35" fillId="15" borderId="0" xfId="1" applyFont="1" applyFill="1" applyAlignment="1">
      <alignment horizontal="center"/>
    </xf>
    <xf numFmtId="164" fontId="35" fillId="16" borderId="0" xfId="1" applyFont="1" applyFill="1" applyAlignment="1">
      <alignment horizontal="center"/>
    </xf>
    <xf numFmtId="164" fontId="2" fillId="16" borderId="0" xfId="1" applyFont="1" applyFill="1" applyAlignment="1">
      <alignment horizontal="left"/>
    </xf>
    <xf numFmtId="164" fontId="2" fillId="16" borderId="0" xfId="1" applyFont="1" applyFill="1"/>
    <xf numFmtId="164" fontId="2" fillId="15" borderId="0" xfId="1" applyFont="1" applyFill="1"/>
    <xf numFmtId="164" fontId="1" fillId="4" borderId="0" xfId="1" applyFont="1" applyFill="1"/>
    <xf numFmtId="164" fontId="2" fillId="4" borderId="0" xfId="1" applyFont="1" applyFill="1"/>
    <xf numFmtId="0" fontId="37" fillId="0" borderId="0" xfId="0" applyFont="1"/>
    <xf numFmtId="0" fontId="39" fillId="0" borderId="0" xfId="0" applyFont="1"/>
    <xf numFmtId="0" fontId="40" fillId="0" borderId="0" xfId="0" applyFont="1" applyAlignment="1"/>
    <xf numFmtId="0" fontId="42" fillId="0" borderId="0" xfId="0" applyFont="1"/>
    <xf numFmtId="0" fontId="42" fillId="5" borderId="0" xfId="0" applyFont="1" applyFill="1"/>
    <xf numFmtId="0" fontId="43" fillId="16" borderId="0" xfId="0" applyFont="1" applyFill="1" applyBorder="1" applyAlignment="1">
      <alignment horizontal="left"/>
    </xf>
    <xf numFmtId="0" fontId="44" fillId="5" borderId="0" xfId="0" applyFont="1" applyFill="1"/>
    <xf numFmtId="17" fontId="44" fillId="16" borderId="0" xfId="0" applyNumberFormat="1" applyFont="1" applyFill="1" applyAlignment="1">
      <alignment horizontal="center"/>
    </xf>
    <xf numFmtId="0" fontId="45" fillId="0" borderId="0" xfId="0" applyFont="1" applyBorder="1" applyAlignment="1"/>
    <xf numFmtId="0" fontId="44" fillId="16" borderId="0" xfId="0" applyFont="1" applyFill="1"/>
    <xf numFmtId="164" fontId="37" fillId="0" borderId="0" xfId="1" applyFont="1"/>
    <xf numFmtId="164" fontId="44" fillId="16" borderId="0" xfId="0" applyNumberFormat="1" applyFont="1" applyFill="1"/>
    <xf numFmtId="164" fontId="44" fillId="5" borderId="0" xfId="0" applyNumberFormat="1" applyFont="1" applyFill="1"/>
    <xf numFmtId="0" fontId="43" fillId="0" borderId="0" xfId="0" applyFont="1" applyBorder="1" applyAlignment="1">
      <alignment horizontal="right"/>
    </xf>
    <xf numFmtId="0" fontId="44" fillId="5" borderId="0" xfId="0" applyFont="1" applyFill="1" applyAlignment="1">
      <alignment horizontal="center"/>
    </xf>
    <xf numFmtId="164" fontId="44" fillId="16" borderId="0" xfId="1" applyFont="1" applyFill="1"/>
    <xf numFmtId="0" fontId="37" fillId="5" borderId="0" xfId="0" applyFont="1" applyFill="1"/>
    <xf numFmtId="0" fontId="46" fillId="0" borderId="0" xfId="0" applyFont="1"/>
    <xf numFmtId="164" fontId="44" fillId="18" borderId="0" xfId="0" applyNumberFormat="1" applyFont="1" applyFill="1"/>
    <xf numFmtId="43" fontId="37" fillId="0" borderId="0" xfId="0" applyNumberFormat="1" applyFont="1"/>
    <xf numFmtId="0" fontId="45" fillId="5" borderId="0" xfId="0" applyFont="1" applyFill="1" applyBorder="1" applyAlignment="1"/>
    <xf numFmtId="164" fontId="44" fillId="5" borderId="0" xfId="1" applyFont="1" applyFill="1"/>
    <xf numFmtId="164" fontId="44" fillId="18" borderId="0" xfId="1" applyFont="1" applyFill="1"/>
    <xf numFmtId="0" fontId="38" fillId="5" borderId="0" xfId="0" applyFont="1" applyFill="1" applyBorder="1" applyAlignment="1">
      <alignment horizontal="center"/>
    </xf>
    <xf numFmtId="0" fontId="36" fillId="17" borderId="0" xfId="0" applyFont="1" applyFill="1" applyBorder="1" applyAlignment="1">
      <alignment horizontal="center"/>
    </xf>
    <xf numFmtId="0" fontId="38" fillId="17" borderId="0" xfId="0" applyFont="1" applyFill="1" applyBorder="1" applyAlignment="1">
      <alignment horizontal="center"/>
    </xf>
    <xf numFmtId="0" fontId="38" fillId="17" borderId="0" xfId="0" applyFont="1" applyFill="1" applyAlignment="1">
      <alignment horizontal="center"/>
    </xf>
    <xf numFmtId="164" fontId="37" fillId="5" borderId="0" xfId="1" applyFont="1" applyFill="1"/>
    <xf numFmtId="0" fontId="49" fillId="0" borderId="0" xfId="0" applyFont="1"/>
    <xf numFmtId="0" fontId="50" fillId="0" borderId="0" xfId="0" applyFont="1" applyAlignment="1"/>
    <xf numFmtId="0" fontId="50" fillId="5" borderId="0" xfId="0" applyFont="1" applyFill="1"/>
    <xf numFmtId="0" fontId="50" fillId="5" borderId="0" xfId="0" applyFont="1" applyFill="1" applyAlignment="1">
      <alignment horizontal="center"/>
    </xf>
    <xf numFmtId="164" fontId="44" fillId="13" borderId="0" xfId="1" applyFont="1" applyFill="1"/>
    <xf numFmtId="0" fontId="52" fillId="13" borderId="0" xfId="0" applyFont="1" applyFill="1"/>
    <xf numFmtId="0" fontId="52" fillId="5" borderId="0" xfId="0" applyFont="1" applyFill="1"/>
    <xf numFmtId="0" fontId="52" fillId="5" borderId="0" xfId="0" applyFont="1" applyFill="1" applyAlignment="1">
      <alignment horizontal="center"/>
    </xf>
    <xf numFmtId="164" fontId="37" fillId="19" borderId="0" xfId="1" applyFont="1" applyFill="1"/>
    <xf numFmtId="0" fontId="37" fillId="5" borderId="0" xfId="0" applyFont="1" applyFill="1" applyAlignment="1">
      <alignment horizontal="center"/>
    </xf>
    <xf numFmtId="164" fontId="37" fillId="18" borderId="0" xfId="1" applyFont="1" applyFill="1"/>
    <xf numFmtId="164" fontId="24" fillId="5" borderId="0" xfId="1" applyFont="1" applyFill="1"/>
    <xf numFmtId="0" fontId="43" fillId="5" borderId="0" xfId="0" applyFont="1" applyFill="1" applyBorder="1" applyAlignment="1">
      <alignment horizontal="right"/>
    </xf>
    <xf numFmtId="0" fontId="40" fillId="5" borderId="0" xfId="0" applyFont="1" applyFill="1" applyAlignment="1"/>
    <xf numFmtId="17" fontId="52" fillId="5" borderId="0" xfId="0" applyNumberFormat="1" applyFont="1" applyFill="1" applyAlignment="1">
      <alignment horizontal="center"/>
    </xf>
    <xf numFmtId="0" fontId="55" fillId="5" borderId="0" xfId="0" applyFont="1" applyFill="1"/>
    <xf numFmtId="0" fontId="50" fillId="5" borderId="0" xfId="0" applyFont="1" applyFill="1" applyAlignment="1"/>
    <xf numFmtId="0" fontId="48" fillId="5" borderId="0" xfId="0" applyFont="1" applyFill="1" applyAlignment="1"/>
    <xf numFmtId="43" fontId="37" fillId="5" borderId="0" xfId="0" applyNumberFormat="1" applyFont="1" applyFill="1"/>
    <xf numFmtId="0" fontId="36" fillId="5" borderId="0" xfId="0" applyFont="1" applyFill="1" applyBorder="1" applyAlignment="1">
      <alignment horizontal="center"/>
    </xf>
    <xf numFmtId="0" fontId="38" fillId="5" borderId="0" xfId="0" applyFont="1" applyFill="1" applyAlignment="1">
      <alignment horizontal="center"/>
    </xf>
    <xf numFmtId="0" fontId="55" fillId="0" borderId="0" xfId="0" applyFont="1"/>
    <xf numFmtId="0" fontId="56" fillId="0" borderId="0" xfId="0" applyFont="1" applyBorder="1" applyAlignment="1">
      <alignment horizontal="right"/>
    </xf>
    <xf numFmtId="164" fontId="54" fillId="21" borderId="0" xfId="1" applyFont="1" applyFill="1"/>
    <xf numFmtId="164" fontId="54" fillId="22" borderId="0" xfId="1" applyFont="1" applyFill="1"/>
    <xf numFmtId="164" fontId="44" fillId="23" borderId="0" xfId="1" applyFont="1" applyFill="1"/>
    <xf numFmtId="0" fontId="39" fillId="5" borderId="0" xfId="0" applyFont="1" applyFill="1"/>
    <xf numFmtId="0" fontId="51" fillId="5" borderId="0" xfId="0" applyFont="1" applyFill="1" applyBorder="1" applyAlignment="1">
      <alignment horizontal="center"/>
    </xf>
    <xf numFmtId="17" fontId="44" fillId="5" borderId="0" xfId="0" applyNumberFormat="1" applyFont="1" applyFill="1" applyAlignment="1">
      <alignment horizontal="center"/>
    </xf>
    <xf numFmtId="0" fontId="56" fillId="5" borderId="0" xfId="0" applyFont="1" applyFill="1" applyBorder="1" applyAlignment="1">
      <alignment horizontal="right"/>
    </xf>
    <xf numFmtId="0" fontId="43" fillId="5" borderId="0" xfId="0" applyFont="1" applyFill="1" applyBorder="1" applyAlignment="1">
      <alignment horizontal="left"/>
    </xf>
    <xf numFmtId="0" fontId="49" fillId="5" borderId="0" xfId="0" applyFont="1" applyFill="1"/>
    <xf numFmtId="0" fontId="46" fillId="5" borderId="0" xfId="0" applyFont="1" applyFill="1"/>
    <xf numFmtId="164" fontId="44" fillId="20" borderId="0" xfId="0" applyNumberFormat="1" applyFont="1" applyFill="1"/>
    <xf numFmtId="0" fontId="57" fillId="5" borderId="0" xfId="0" applyFont="1" applyFill="1"/>
    <xf numFmtId="0" fontId="47" fillId="0" borderId="0" xfId="0" applyFont="1"/>
    <xf numFmtId="164" fontId="37" fillId="4" borderId="0" xfId="1" applyFont="1" applyFill="1"/>
    <xf numFmtId="164" fontId="44" fillId="4" borderId="0" xfId="1" applyFont="1" applyFill="1"/>
    <xf numFmtId="17" fontId="52" fillId="4" borderId="0" xfId="0" applyNumberFormat="1" applyFont="1" applyFill="1" applyAlignment="1">
      <alignment horizontal="center"/>
    </xf>
    <xf numFmtId="164" fontId="44" fillId="19" borderId="0" xfId="1" applyFont="1" applyFill="1"/>
    <xf numFmtId="0" fontId="52" fillId="19" borderId="0" xfId="0" applyFont="1" applyFill="1" applyAlignment="1">
      <alignment horizontal="center"/>
    </xf>
    <xf numFmtId="164" fontId="44" fillId="19" borderId="0" xfId="0" applyNumberFormat="1" applyFont="1" applyFill="1"/>
    <xf numFmtId="164" fontId="24" fillId="19" borderId="0" xfId="1" applyFont="1" applyFill="1"/>
    <xf numFmtId="164" fontId="44" fillId="9" borderId="0" xfId="1" applyFont="1" applyFill="1"/>
    <xf numFmtId="17" fontId="52" fillId="9" borderId="0" xfId="0" applyNumberFormat="1" applyFont="1" applyFill="1" applyAlignment="1">
      <alignment horizontal="center"/>
    </xf>
    <xf numFmtId="0" fontId="52" fillId="9" borderId="0" xfId="0" applyFont="1" applyFill="1"/>
    <xf numFmtId="164" fontId="44" fillId="9" borderId="0" xfId="0" applyNumberFormat="1" applyFont="1" applyFill="1"/>
    <xf numFmtId="0" fontId="55" fillId="9" borderId="0" xfId="0" applyFont="1" applyFill="1" applyAlignment="1"/>
    <xf numFmtId="0" fontId="47" fillId="4" borderId="0" xfId="0" applyFont="1" applyFill="1"/>
    <xf numFmtId="0" fontId="53" fillId="4" borderId="0" xfId="0" applyFont="1" applyFill="1"/>
    <xf numFmtId="0" fontId="53" fillId="9" borderId="0" xfId="0" applyFont="1" applyFill="1"/>
    <xf numFmtId="164" fontId="59" fillId="0" borderId="0" xfId="1" applyFont="1"/>
    <xf numFmtId="164" fontId="59" fillId="5" borderId="0" xfId="1" applyFont="1" applyFill="1"/>
    <xf numFmtId="164" fontId="37" fillId="24" borderId="0" xfId="1" applyFont="1" applyFill="1"/>
    <xf numFmtId="0" fontId="61" fillId="0" borderId="0" xfId="0" applyFont="1" applyBorder="1" applyAlignment="1"/>
    <xf numFmtId="0" fontId="60" fillId="16" borderId="0" xfId="0" applyFont="1" applyFill="1"/>
    <xf numFmtId="164" fontId="62" fillId="0" borderId="0" xfId="1" applyFont="1"/>
    <xf numFmtId="164" fontId="60" fillId="16" borderId="0" xfId="0" applyNumberFormat="1" applyFont="1" applyFill="1"/>
    <xf numFmtId="164" fontId="60" fillId="18" borderId="0" xfId="0" applyNumberFormat="1" applyFont="1" applyFill="1"/>
    <xf numFmtId="0" fontId="60" fillId="5" borderId="0" xfId="0" applyFont="1" applyFill="1"/>
    <xf numFmtId="0" fontId="61" fillId="5" borderId="0" xfId="0" applyFont="1" applyFill="1" applyBorder="1" applyAlignment="1"/>
    <xf numFmtId="164" fontId="62" fillId="5" borderId="0" xfId="1" applyFont="1" applyFill="1"/>
    <xf numFmtId="17" fontId="60" fillId="16" borderId="0" xfId="0" applyNumberFormat="1" applyFont="1" applyFill="1" applyAlignment="1">
      <alignment horizontal="center"/>
    </xf>
    <xf numFmtId="0" fontId="38" fillId="5" borderId="0" xfId="0" applyFont="1" applyFill="1" applyBorder="1" applyAlignment="1">
      <alignment horizontal="center"/>
    </xf>
    <xf numFmtId="0" fontId="36" fillId="17" borderId="0" xfId="0" applyFont="1" applyFill="1" applyBorder="1" applyAlignment="1">
      <alignment horizontal="center"/>
    </xf>
    <xf numFmtId="0" fontId="38" fillId="17" borderId="0" xfId="0" applyFont="1" applyFill="1" applyAlignment="1">
      <alignment horizontal="center"/>
    </xf>
    <xf numFmtId="0" fontId="38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8" fillId="5" borderId="0" xfId="0" applyFont="1" applyFill="1" applyBorder="1" applyAlignment="1">
      <alignment horizontal="center"/>
    </xf>
    <xf numFmtId="0" fontId="41" fillId="4" borderId="0" xfId="0" applyFont="1" applyFill="1" applyAlignment="1">
      <alignment horizontal="center"/>
    </xf>
    <xf numFmtId="0" fontId="41" fillId="9" borderId="0" xfId="0" applyFont="1" applyFill="1" applyAlignment="1">
      <alignment horizontal="center"/>
    </xf>
    <xf numFmtId="0" fontId="36" fillId="17" borderId="0" xfId="0" applyFont="1" applyFill="1" applyBorder="1" applyAlignment="1">
      <alignment horizontal="center"/>
    </xf>
    <xf numFmtId="0" fontId="63" fillId="17" borderId="0" xfId="0" applyFont="1" applyFill="1" applyBorder="1" applyAlignment="1">
      <alignment horizontal="center"/>
    </xf>
    <xf numFmtId="0" fontId="38" fillId="17" borderId="0" xfId="0" applyFont="1" applyFill="1" applyAlignment="1">
      <alignment horizontal="center"/>
    </xf>
    <xf numFmtId="0" fontId="63" fillId="17" borderId="0" xfId="0" applyFont="1" applyFill="1" applyAlignment="1">
      <alignment horizontal="center"/>
    </xf>
    <xf numFmtId="0" fontId="48" fillId="16" borderId="0" xfId="0" applyFont="1" applyFill="1" applyAlignment="1">
      <alignment horizontal="center"/>
    </xf>
    <xf numFmtId="0" fontId="41" fillId="13" borderId="0" xfId="0" applyFont="1" applyFill="1" applyAlignment="1">
      <alignment horizontal="center"/>
    </xf>
    <xf numFmtId="0" fontId="41" fillId="16" borderId="0" xfId="0" applyFont="1" applyFill="1" applyAlignment="1">
      <alignment horizontal="center"/>
    </xf>
    <xf numFmtId="0" fontId="41" fillId="5" borderId="0" xfId="0" applyFont="1" applyFill="1" applyAlignment="1">
      <alignment horizontal="center"/>
    </xf>
    <xf numFmtId="0" fontId="58" fillId="5" borderId="0" xfId="0" applyFont="1" applyFill="1" applyBorder="1" applyAlignment="1">
      <alignment horizontal="center"/>
    </xf>
    <xf numFmtId="0" fontId="63" fillId="5" borderId="0" xfId="0" applyFont="1" applyFill="1" applyBorder="1" applyAlignment="1">
      <alignment horizontal="center"/>
    </xf>
    <xf numFmtId="0" fontId="38" fillId="5" borderId="0" xfId="0" applyFont="1" applyFill="1" applyAlignment="1">
      <alignment horizontal="center"/>
    </xf>
    <xf numFmtId="0" fontId="63" fillId="5" borderId="0" xfId="0" applyFont="1" applyFill="1" applyAlignment="1">
      <alignment horizontal="center"/>
    </xf>
    <xf numFmtId="0" fontId="48" fillId="5" borderId="0" xfId="0" applyFont="1" applyFill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9" defaultPivotStyle="PivotStyleLight16"/>
  <colors>
    <mruColors>
      <color rgb="FFF5FACA"/>
      <color rgb="FF015B30"/>
      <color rgb="FFFF99FF"/>
      <color rgb="FFFFCCFF"/>
      <color rgb="FFCCCC00"/>
      <color rgb="FFDD1D09"/>
      <color rgb="FFFFCCCC"/>
      <color rgb="FF6600CC"/>
      <color rgb="FFFFEFFE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0248342849747184E-2"/>
          <c:y val="0.13557053465729266"/>
          <c:w val="0.94975165715025278"/>
          <c:h val="0.64886035484449323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'2019'!$A$46</c:f>
              <c:strCache>
                <c:ptCount val="1"/>
                <c:pt idx="0">
                  <c:v>Receitas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-1.0146225484282538E-2"/>
                  <c:y val="-3.61509670892006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0731127421412879E-3"/>
                  <c:y val="-3.8733179024143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438676452847614E-3"/>
                  <c:y val="-3.8733179024143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0731127421413062E-3"/>
                  <c:y val="-3.6150967089200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0877352905695228E-3"/>
                  <c:y val="-4.3897602894029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0146225484282537E-3"/>
                  <c:y val="-3.356875515425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7.4404794020875543E-17"/>
                  <c:y val="-2.8404331284371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292450968565821E-3"/>
                  <c:y val="-3.6150967089200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4.0584901937130149E-3"/>
                  <c:y val="-3.8733179024143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131539095908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0438676452849102E-3"/>
                  <c:y val="-3.0986543219314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1.4880958804175109E-16"/>
                  <c:y val="-3.3568755154257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5.7833485260410468E-2"/>
                  <c:y val="-2.065769547954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2.0292450968565075E-2"/>
                  <c:y val="-0.10845290126760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'2019'!$B$46:$AB$46</c:f>
              <c:numCache>
                <c:formatCode>_("R$ "* #,##0.00_);_("R$ "* \(#,##0.00\);_("R$ "* "-"??_);_(@_)</c:formatCode>
                <c:ptCount val="27"/>
                <c:pt idx="1">
                  <c:v>1278186.47</c:v>
                </c:pt>
                <c:pt idx="3">
                  <c:v>1493186.47</c:v>
                </c:pt>
                <c:pt idx="5">
                  <c:v>1563186.47</c:v>
                </c:pt>
                <c:pt idx="7">
                  <c:v>1251186.47</c:v>
                </c:pt>
                <c:pt idx="9">
                  <c:v>1580026.47</c:v>
                </c:pt>
                <c:pt idx="11">
                  <c:v>1218186.47</c:v>
                </c:pt>
                <c:pt idx="13">
                  <c:v>901346.47</c:v>
                </c:pt>
                <c:pt idx="15">
                  <c:v>1215510.3700000001</c:v>
                </c:pt>
                <c:pt idx="17">
                  <c:v>943186.47</c:v>
                </c:pt>
                <c:pt idx="19">
                  <c:v>1218186.47</c:v>
                </c:pt>
                <c:pt idx="21">
                  <c:v>856346.47</c:v>
                </c:pt>
                <c:pt idx="23">
                  <c:v>2001866.47</c:v>
                </c:pt>
              </c:numCache>
            </c:numRef>
          </c:val>
        </c:ser>
        <c:ser>
          <c:idx val="1"/>
          <c:order val="1"/>
          <c:tx>
            <c:strRef>
              <c:f>'2019'!$A$47</c:f>
              <c:strCache>
                <c:ptCount val="1"/>
                <c:pt idx="0">
                  <c:v>Despesas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2.0292450968565075E-3"/>
                  <c:y val="-5.1644238698857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438676452847428E-3"/>
                  <c:y val="-5.1644238698858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202397010437772E-17"/>
                  <c:y val="-5.680866256874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0292450968565448E-3"/>
                  <c:y val="-5.1644238698857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146225484282537E-3"/>
                  <c:y val="-5.680866256874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4.0584901937129412E-3"/>
                  <c:y val="-4.9062026763915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1.0146225484282537E-3"/>
                  <c:y val="-4.9062026763915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1.0146225484281794E-3"/>
                  <c:y val="-4.3897602894029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0"/>
                  <c:y val="-4.647981482897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1.0146225484282537E-3"/>
                  <c:y val="-4.3897602894029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1.0146225484282537E-3"/>
                  <c:y val="-4.647981482897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6.0877352905695228E-3"/>
                  <c:y val="-3.0986543219314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4.0584901937130149E-3"/>
                  <c:y val="-3.0986543219314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7.1023578389976276E-3"/>
                  <c:y val="-3.6150967089200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'2019'!$B$47:$AB$47</c:f>
              <c:numCache>
                <c:formatCode>_("R$ "* #,##0.00_);_("R$ "* \(#,##0.00\);_("R$ "* "-"??_);_(@_)</c:formatCode>
                <c:ptCount val="27"/>
                <c:pt idx="1">
                  <c:v>1048471.32</c:v>
                </c:pt>
                <c:pt idx="3">
                  <c:v>1690314.59</c:v>
                </c:pt>
                <c:pt idx="5">
                  <c:v>1314911.6500000001</c:v>
                </c:pt>
                <c:pt idx="7">
                  <c:v>1387459.0799999998</c:v>
                </c:pt>
                <c:pt idx="9">
                  <c:v>1414831.1700000004</c:v>
                </c:pt>
                <c:pt idx="11">
                  <c:v>1624853.8199999998</c:v>
                </c:pt>
                <c:pt idx="13">
                  <c:v>1314673.1400000001</c:v>
                </c:pt>
                <c:pt idx="15">
                  <c:v>1469119.22</c:v>
                </c:pt>
                <c:pt idx="17">
                  <c:v>1243888.19</c:v>
                </c:pt>
                <c:pt idx="19">
                  <c:v>1374029.94</c:v>
                </c:pt>
                <c:pt idx="21">
                  <c:v>1179342.19</c:v>
                </c:pt>
                <c:pt idx="23">
                  <c:v>1512489.3099999998</c:v>
                </c:pt>
              </c:numCache>
            </c:numRef>
          </c:val>
        </c:ser>
        <c:ser>
          <c:idx val="2"/>
          <c:order val="2"/>
          <c:tx>
            <c:strRef>
              <c:f>'2019'!$A$48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-1.31900931295673E-2"/>
                  <c:y val="-9.5541841592887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058490193713034E-3"/>
                  <c:y val="-9.5541638269112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202397010437772E-17"/>
                  <c:y val="-9.5541841592887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0292450968564706E-3"/>
                  <c:y val="-9.5541841592887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4.0584901937130149E-3"/>
                  <c:y val="-9.0377417723001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8.1169803874259552E-3"/>
                  <c:y val="-9.29596296579443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8.1169803874260298E-3"/>
                  <c:y val="-9.0377417723001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1169803874258824E-3"/>
                  <c:y val="-9.0377417723001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8.1169803874259552E-3"/>
                  <c:y val="-9.0377417723001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4.0584901937130149E-3"/>
                  <c:y val="-8.779520578805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4.0584901937130149E-3"/>
                  <c:y val="-9.29596296579443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1.0146225484282537E-3"/>
                  <c:y val="-8.263078191817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4.0584901937128666E-3"/>
                  <c:y val="-4.131539095908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1.9277828420136821E-2"/>
                  <c:y val="-0.17042558105868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'2019'!$B$48:$AB$48</c:f>
              <c:numCache>
                <c:formatCode>_("R$ "* #,##0.00_);_("R$ "* \(#,##0.00\);_("R$ "* "-"??_);_(@_)</c:formatCode>
                <c:ptCount val="27"/>
                <c:pt idx="1">
                  <c:v>229715.15000000002</c:v>
                </c:pt>
                <c:pt idx="3">
                  <c:v>-197128.12000000011</c:v>
                </c:pt>
                <c:pt idx="5">
                  <c:v>248274.81999999983</c:v>
                </c:pt>
                <c:pt idx="7">
                  <c:v>-136272.60999999987</c:v>
                </c:pt>
                <c:pt idx="9">
                  <c:v>165195.29999999958</c:v>
                </c:pt>
                <c:pt idx="11">
                  <c:v>-406667.34999999986</c:v>
                </c:pt>
                <c:pt idx="13">
                  <c:v>-413326.67000000016</c:v>
                </c:pt>
                <c:pt idx="15">
                  <c:v>-253608.84999999986</c:v>
                </c:pt>
                <c:pt idx="17">
                  <c:v>-300701.71999999997</c:v>
                </c:pt>
                <c:pt idx="19">
                  <c:v>-155843.46999999997</c:v>
                </c:pt>
                <c:pt idx="21">
                  <c:v>-322995.71999999997</c:v>
                </c:pt>
                <c:pt idx="23">
                  <c:v>489377.16000000015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31642032"/>
        <c:axId val="1331627344"/>
        <c:axId val="1442968816"/>
      </c:bar3DChart>
      <c:catAx>
        <c:axId val="1331642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1627344"/>
        <c:crosses val="autoZero"/>
        <c:auto val="1"/>
        <c:lblAlgn val="ctr"/>
        <c:lblOffset val="100"/>
        <c:noMultiLvlLbl val="0"/>
      </c:catAx>
      <c:valAx>
        <c:axId val="133162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1642032"/>
        <c:crosses val="autoZero"/>
        <c:crossBetween val="between"/>
      </c:valAx>
      <c:serAx>
        <c:axId val="1442968816"/>
        <c:scaling>
          <c:orientation val="minMax"/>
        </c:scaling>
        <c:delete val="1"/>
        <c:axPos val="b"/>
        <c:majorTickMark val="none"/>
        <c:minorTickMark val="none"/>
        <c:tickLblPos val="nextTo"/>
        <c:crossAx val="1331627344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'2020 '!$A$45</c:f>
              <c:strCache>
                <c:ptCount val="1"/>
                <c:pt idx="0">
                  <c:v>Receitas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-6.4075380901651609E-3"/>
                  <c:y val="-8.3558623611824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0094226127064511E-4"/>
                  <c:y val="-2.2282299629820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028267838119353E-3"/>
                  <c:y val="-2.7852874537275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1.3926437268637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0047113063532251E-3"/>
                  <c:y val="-1.671172472236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0412249396518445E-2"/>
                  <c:y val="-0.155976097408739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747017462754653E-16"/>
                  <c:y val="-8.3558623611824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47017462754653E-16"/>
                  <c:y val="-1.9497012176092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6018845225414075E-3"/>
                  <c:y val="-2.5067587083547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2.5067587083547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6018845225414075E-3"/>
                  <c:y val="-3.0638161991002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5.0135174167094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4.164899758607354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1.7620729747954075E-2"/>
                  <c:y val="-8.3558623611824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'2020 '!$B$45:$P$45</c:f>
              <c:numCache>
                <c:formatCode>_("R$ "* #,##0.00_);_("R$ "* \(#,##0.00\);_("R$ "* "-"??_);_(@_)</c:formatCode>
                <c:ptCount val="15"/>
                <c:pt idx="1">
                  <c:v>1218186.47</c:v>
                </c:pt>
                <c:pt idx="2">
                  <c:v>856346.47</c:v>
                </c:pt>
                <c:pt idx="3">
                  <c:v>1855026.47</c:v>
                </c:pt>
                <c:pt idx="4">
                  <c:v>1847661.4</c:v>
                </c:pt>
                <c:pt idx="5">
                  <c:v>1434526.54</c:v>
                </c:pt>
                <c:pt idx="6">
                  <c:v>3154722.06</c:v>
                </c:pt>
                <c:pt idx="7">
                  <c:v>1949051.05</c:v>
                </c:pt>
                <c:pt idx="8">
                  <c:v>1737186.47</c:v>
                </c:pt>
                <c:pt idx="9">
                  <c:v>2072650.27</c:v>
                </c:pt>
                <c:pt idx="10">
                  <c:v>1972720.87</c:v>
                </c:pt>
                <c:pt idx="11">
                  <c:v>2332724.67</c:v>
                </c:pt>
                <c:pt idx="12">
                  <c:v>3933677.67</c:v>
                </c:pt>
              </c:numCache>
            </c:numRef>
          </c:val>
        </c:ser>
        <c:ser>
          <c:idx val="1"/>
          <c:order val="1"/>
          <c:tx>
            <c:strRef>
              <c:f>'2020 '!$A$46</c:f>
              <c:strCache>
                <c:ptCount val="1"/>
                <c:pt idx="0">
                  <c:v>Despesas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3.2037690450825804E-3"/>
                  <c:y val="-4.7349886713367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4028267838119353E-3"/>
                  <c:y val="-7.2417473796914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9367543656886632E-17"/>
                  <c:y val="-5.2920461620822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8735087313773264E-17"/>
                  <c:y val="-4.1779311805912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8735087313773264E-17"/>
                  <c:y val="-4.4564599259639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8.8103648739770966E-3"/>
                  <c:y val="-0.12812322287146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6.4075380901651609E-3"/>
                  <c:y val="-4.7349886713367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8103648739770966E-3"/>
                  <c:y val="-6.1276323982004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7.2084803514356885E-3"/>
                  <c:y val="-5.5705749074549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5.6065958288945153E-3"/>
                  <c:y val="-5.849103652827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2.4028267838118178E-3"/>
                  <c:y val="-5.8491036528277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3.2037690450825804E-3"/>
                  <c:y val="-6.1276323982004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2.9634863667013751E-2"/>
                  <c:y val="-8.3558623611824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5.6065958288943982E-3"/>
                  <c:y val="-5.0135174167094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'2020 '!$B$46:$P$46</c:f>
              <c:numCache>
                <c:formatCode>_("R$ "* #,##0.00_);_("R$ "* \(#,##0.00\);_("R$ "* "-"??_);_(@_)</c:formatCode>
                <c:ptCount val="15"/>
                <c:pt idx="1">
                  <c:v>1679679.2100000002</c:v>
                </c:pt>
                <c:pt idx="2">
                  <c:v>1451632.97</c:v>
                </c:pt>
                <c:pt idx="3">
                  <c:v>1799223.04</c:v>
                </c:pt>
                <c:pt idx="4">
                  <c:v>1978938.01</c:v>
                </c:pt>
                <c:pt idx="5">
                  <c:v>1582498.57</c:v>
                </c:pt>
                <c:pt idx="6">
                  <c:v>2177003.2600000002</c:v>
                </c:pt>
                <c:pt idx="7">
                  <c:v>2034868.65</c:v>
                </c:pt>
                <c:pt idx="8">
                  <c:v>2208135.12</c:v>
                </c:pt>
                <c:pt idx="9">
                  <c:v>2273386.23</c:v>
                </c:pt>
                <c:pt idx="10">
                  <c:v>1805528.5699999998</c:v>
                </c:pt>
                <c:pt idx="11">
                  <c:v>2581084.1300000008</c:v>
                </c:pt>
                <c:pt idx="12">
                  <c:v>2596949.62</c:v>
                </c:pt>
              </c:numCache>
            </c:numRef>
          </c:val>
        </c:ser>
        <c:ser>
          <c:idx val="2"/>
          <c:order val="2"/>
          <c:tx>
            <c:strRef>
              <c:f>'2020 '!$A$47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dLbl>
              <c:idx val="11"/>
              <c:layout>
                <c:manualLayout>
                  <c:x val="-2.4028267838119939E-3"/>
                  <c:y val="9.4699773426734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8.0094226127076253E-4"/>
                  <c:y val="-5.0135174167094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'2020 '!$B$47:$P$47</c:f>
              <c:numCache>
                <c:formatCode>_("R$ "* #,##0.00_);_("R$ "* \(#,##0.00\);_("R$ "* "-"??_);_(@_)</c:formatCode>
                <c:ptCount val="15"/>
                <c:pt idx="1">
                  <c:v>-461492.74000000022</c:v>
                </c:pt>
                <c:pt idx="2">
                  <c:v>-595286.5</c:v>
                </c:pt>
                <c:pt idx="3">
                  <c:v>55803.429999999935</c:v>
                </c:pt>
                <c:pt idx="4">
                  <c:v>-131276.6100000001</c:v>
                </c:pt>
                <c:pt idx="5">
                  <c:v>-147972.03000000003</c:v>
                </c:pt>
                <c:pt idx="6">
                  <c:v>977718.79999999981</c:v>
                </c:pt>
                <c:pt idx="7">
                  <c:v>-85817.59999999986</c:v>
                </c:pt>
                <c:pt idx="8">
                  <c:v>-470948.65000000014</c:v>
                </c:pt>
                <c:pt idx="9">
                  <c:v>-200735.95999999996</c:v>
                </c:pt>
                <c:pt idx="10">
                  <c:v>167192.30000000028</c:v>
                </c:pt>
                <c:pt idx="11">
                  <c:v>-248359.46000000089</c:v>
                </c:pt>
                <c:pt idx="12">
                  <c:v>1336728.0499999998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331629520"/>
        <c:axId val="1331640944"/>
        <c:axId val="0"/>
      </c:bar3DChart>
      <c:catAx>
        <c:axId val="1331629520"/>
        <c:scaling>
          <c:orientation val="minMax"/>
        </c:scaling>
        <c:delete val="1"/>
        <c:axPos val="b"/>
        <c:majorTickMark val="none"/>
        <c:minorTickMark val="none"/>
        <c:tickLblPos val="nextTo"/>
        <c:crossAx val="1331640944"/>
        <c:crosses val="autoZero"/>
        <c:auto val="1"/>
        <c:lblAlgn val="ctr"/>
        <c:lblOffset val="100"/>
        <c:noMultiLvlLbl val="0"/>
      </c:catAx>
      <c:valAx>
        <c:axId val="133164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162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'2021'!$A$45</c:f>
              <c:strCache>
                <c:ptCount val="1"/>
                <c:pt idx="0">
                  <c:v>Receitas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-6.4075380901651609E-3"/>
                  <c:y val="-8.3558623611824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0094226127064511E-4"/>
                  <c:y val="-2.2282299629820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028267838119353E-3"/>
                  <c:y val="-2.7852874537275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1.3926437268637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0047113063532251E-3"/>
                  <c:y val="-1.671172472236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0412249396518445E-2"/>
                  <c:y val="-0.155976097408739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1747017462754653E-16"/>
                  <c:y val="-8.3558623611824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47017462754653E-16"/>
                  <c:y val="-1.9497012176092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6018845225414075E-3"/>
                  <c:y val="-2.5067587083547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2.5067587083547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6018845225414075E-3"/>
                  <c:y val="-3.0638161991002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5.0135174167094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4.164899758607354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1.7620729747954075E-2"/>
                  <c:y val="-8.3558623611824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'2021'!$B$45:$P$45</c:f>
              <c:numCache>
                <c:formatCode>_("R$ "* #,##0.00_);_("R$ "* \(#,##0.00\);_("R$ "* "-"??_);_(@_)</c:formatCode>
                <c:ptCount val="15"/>
                <c:pt idx="1">
                  <c:v>2621851.67</c:v>
                </c:pt>
                <c:pt idx="2">
                  <c:v>1419002.97</c:v>
                </c:pt>
                <c:pt idx="3">
                  <c:v>1709236.0699999998</c:v>
                </c:pt>
                <c:pt idx="4">
                  <c:v>1960126.17</c:v>
                </c:pt>
                <c:pt idx="5">
                  <c:v>1948186.47</c:v>
                </c:pt>
                <c:pt idx="6">
                  <c:v>2001886.47</c:v>
                </c:pt>
                <c:pt idx="7">
                  <c:v>1998186.47</c:v>
                </c:pt>
                <c:pt idx="8">
                  <c:v>1998186.47</c:v>
                </c:pt>
                <c:pt idx="9">
                  <c:v>2236186.4699999997</c:v>
                </c:pt>
                <c:pt idx="10">
                  <c:v>2186186.4699999997</c:v>
                </c:pt>
                <c:pt idx="11">
                  <c:v>2058186.47</c:v>
                </c:pt>
                <c:pt idx="12">
                  <c:v>3466711.47</c:v>
                </c:pt>
              </c:numCache>
            </c:numRef>
          </c:val>
        </c:ser>
        <c:ser>
          <c:idx val="1"/>
          <c:order val="1"/>
          <c:tx>
            <c:strRef>
              <c:f>'2021'!$A$46</c:f>
              <c:strCache>
                <c:ptCount val="1"/>
                <c:pt idx="0">
                  <c:v>Despesas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3.2037690450825804E-3"/>
                  <c:y val="-4.7349886713367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4028267838119353E-3"/>
                  <c:y val="-7.2417473796914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367543656886632E-17"/>
                  <c:y val="-5.2920461620822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8735087313773264E-17"/>
                  <c:y val="-4.1779311805912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8735087313773264E-17"/>
                  <c:y val="-4.4564599259639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8.8103648739770966E-3"/>
                  <c:y val="-0.12812322287146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6.4075380901651609E-3"/>
                  <c:y val="-4.7349886713367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8103648739770966E-3"/>
                  <c:y val="-6.1276323982004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7.2084803514356885E-3"/>
                  <c:y val="-5.5705749074549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5.6065958288945153E-3"/>
                  <c:y val="-5.849103652827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2.4028267838118178E-3"/>
                  <c:y val="-5.8491036528277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3.2037690450825804E-3"/>
                  <c:y val="-6.1276323982004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2.9634863667013751E-2"/>
                  <c:y val="-8.3558623611824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5.6065958288943982E-3"/>
                  <c:y val="-5.0135174167094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'2021'!$B$46:$P$46</c:f>
              <c:numCache>
                <c:formatCode>_("R$ "* #,##0.00_);_("R$ "* \(#,##0.00\);_("R$ "* "-"??_);_(@_)</c:formatCode>
                <c:ptCount val="15"/>
                <c:pt idx="1">
                  <c:v>2473139.8200000003</c:v>
                </c:pt>
                <c:pt idx="2">
                  <c:v>2267369.7000000002</c:v>
                </c:pt>
                <c:pt idx="3">
                  <c:v>2641156.27</c:v>
                </c:pt>
                <c:pt idx="4">
                  <c:v>1984572.57</c:v>
                </c:pt>
                <c:pt idx="5">
                  <c:v>2413506.0099999998</c:v>
                </c:pt>
                <c:pt idx="6">
                  <c:v>2178609.13</c:v>
                </c:pt>
                <c:pt idx="7">
                  <c:v>2488599.0699999998</c:v>
                </c:pt>
                <c:pt idx="8">
                  <c:v>2087395.73</c:v>
                </c:pt>
                <c:pt idx="9">
                  <c:v>1773307.8699999999</c:v>
                </c:pt>
                <c:pt idx="10">
                  <c:v>2701093.9400000004</c:v>
                </c:pt>
                <c:pt idx="11">
                  <c:v>2206842.1299999994</c:v>
                </c:pt>
                <c:pt idx="12">
                  <c:v>3278981.2099999995</c:v>
                </c:pt>
              </c:numCache>
            </c:numRef>
          </c:val>
        </c:ser>
        <c:ser>
          <c:idx val="2"/>
          <c:order val="2"/>
          <c:tx>
            <c:strRef>
              <c:f>'2021'!$A$47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dLbl>
              <c:idx val="11"/>
              <c:layout>
                <c:manualLayout>
                  <c:x val="-2.4028267838119939E-3"/>
                  <c:y val="9.4699773426734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8.0094226127076253E-4"/>
                  <c:y val="-5.0135174167094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'2021'!$B$47:$P$47</c:f>
              <c:numCache>
                <c:formatCode>_("R$ "* #,##0.00_);_("R$ "* \(#,##0.00\);_("R$ "* "-"??_);_(@_)</c:formatCode>
                <c:ptCount val="15"/>
                <c:pt idx="1">
                  <c:v>148711.84999999963</c:v>
                </c:pt>
                <c:pt idx="2">
                  <c:v>-848366.73000000021</c:v>
                </c:pt>
                <c:pt idx="3">
                  <c:v>-931920.20000000019</c:v>
                </c:pt>
                <c:pt idx="4">
                  <c:v>-24446.40000000014</c:v>
                </c:pt>
                <c:pt idx="5">
                  <c:v>-465319.5399999998</c:v>
                </c:pt>
                <c:pt idx="6">
                  <c:v>-176722.65999999992</c:v>
                </c:pt>
                <c:pt idx="7">
                  <c:v>-490412.59999999986</c:v>
                </c:pt>
                <c:pt idx="8">
                  <c:v>-89209.260000000009</c:v>
                </c:pt>
                <c:pt idx="9">
                  <c:v>462878.59999999986</c:v>
                </c:pt>
                <c:pt idx="10">
                  <c:v>-514907.47000000067</c:v>
                </c:pt>
                <c:pt idx="11">
                  <c:v>-148655.65999999945</c:v>
                </c:pt>
                <c:pt idx="12">
                  <c:v>187730.26000000071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331636592"/>
        <c:axId val="1331631696"/>
        <c:axId val="0"/>
      </c:bar3DChart>
      <c:catAx>
        <c:axId val="1331636592"/>
        <c:scaling>
          <c:orientation val="minMax"/>
        </c:scaling>
        <c:delete val="1"/>
        <c:axPos val="b"/>
        <c:majorTickMark val="none"/>
        <c:minorTickMark val="none"/>
        <c:tickLblPos val="nextTo"/>
        <c:crossAx val="1331631696"/>
        <c:crosses val="autoZero"/>
        <c:auto val="1"/>
        <c:lblAlgn val="ctr"/>
        <c:lblOffset val="100"/>
        <c:noMultiLvlLbl val="0"/>
      </c:catAx>
      <c:valAx>
        <c:axId val="133163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163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584525613001987E-2"/>
          <c:y val="2.7050639882208696E-2"/>
          <c:w val="0.91348929221482345"/>
          <c:h val="0.85472973757974813"/>
        </c:manualLayout>
      </c:layout>
      <c:bar3DChart>
        <c:barDir val="col"/>
        <c:grouping val="clustered"/>
        <c:varyColors val="0"/>
        <c:ser>
          <c:idx val="1"/>
          <c:order val="0"/>
          <c:spPr>
            <a:solidFill>
              <a:srgbClr val="FF99FF"/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4.847932570525776E-3"/>
                  <c:y val="-1.2295745401004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9087595423154837E-3"/>
                  <c:y val="-2.2132341721807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175190846308962E-3"/>
                  <c:y val="-9.016775798172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551094827907879E-17"/>
                  <c:y val="-2.4591490802007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102189655815759E-17"/>
                  <c:y val="-1.7214043561405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1.2295745401003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087595423154659E-3"/>
                  <c:y val="-1.7214043561405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9.6958651410508417E-4"/>
                  <c:y val="-1.7214043561405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0"/>
                  <c:y val="-1.2295745401004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0"/>
                  <c:y val="-1.2295745401004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4220437931163152E-16"/>
                  <c:y val="-1.2295745401003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1.2295745401004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5.2237761183093125E-2"/>
                  <c:y val="-2.0284299632646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1.9347318956701156E-3"/>
                  <c:y val="-4.586979929705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'Folha - 19'!$C$8:$AB$8</c:f>
              <c:numCache>
                <c:formatCode>_("R$ "* #,##0.00_);_("R$ "* \(#,##0.00\);_("R$ "* "-"??_);_(@_)</c:formatCode>
                <c:ptCount val="26"/>
                <c:pt idx="0">
                  <c:v>978186.47</c:v>
                </c:pt>
                <c:pt idx="2">
                  <c:v>943186.47</c:v>
                </c:pt>
                <c:pt idx="4">
                  <c:v>943186.47</c:v>
                </c:pt>
                <c:pt idx="6">
                  <c:v>943186.47</c:v>
                </c:pt>
                <c:pt idx="8">
                  <c:v>1305026.47</c:v>
                </c:pt>
                <c:pt idx="10">
                  <c:v>943186.47</c:v>
                </c:pt>
                <c:pt idx="12">
                  <c:v>626346.47</c:v>
                </c:pt>
                <c:pt idx="14">
                  <c:v>940510.37</c:v>
                </c:pt>
                <c:pt idx="16">
                  <c:v>943186.47</c:v>
                </c:pt>
                <c:pt idx="18">
                  <c:v>943186.47</c:v>
                </c:pt>
                <c:pt idx="20">
                  <c:v>581346.47</c:v>
                </c:pt>
                <c:pt idx="22">
                  <c:v>1666866.47</c:v>
                </c:pt>
                <c:pt idx="24">
                  <c:v>11757401.540000001</c:v>
                </c:pt>
                <c:pt idx="25">
                  <c:v>979783.46166666679</c:v>
                </c:pt>
              </c:numCache>
            </c:numRef>
          </c:val>
        </c:ser>
        <c:ser>
          <c:idx val="2"/>
          <c:order val="1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1.9347318956700981E-3"/>
                  <c:y val="-3.7269211928856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013607438492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6736594783505781E-4"/>
                  <c:y val="-3.1535487016724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469675005239716E-17"/>
                  <c:y val="-4.013607438492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9347318956701156E-3"/>
                  <c:y val="-3.4402349472790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7.0939350010479432E-17"/>
                  <c:y val="-3.4402349472790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-4.013607438492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"/>
                  <c:y val="-5.3667733717916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7.0939350010479432E-17"/>
                  <c:y val="-3.7269211928856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0"/>
                  <c:y val="-3.7269211928856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1.9347318956701156E-3"/>
                  <c:y val="-4.3002936840988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4.8368297391751473E-3"/>
                  <c:y val="-0.10320704841837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2D05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'Folha - 19'!$C$27:$AB$27</c:f>
              <c:numCache>
                <c:formatCode>General</c:formatCode>
                <c:ptCount val="26"/>
                <c:pt idx="0" formatCode="_(&quot;R$ &quot;* #,##0.00_);_(&quot;R$ &quot;* \(#,##0.00\);_(&quot;R$ &quot;* &quot;-&quot;??_);_(@_)">
                  <c:v>528758.6</c:v>
                </c:pt>
                <c:pt idx="2" formatCode="_(&quot;R$ &quot;* #,##0.00_);_(&quot;R$ &quot;* \(#,##0.00\);_(&quot;R$ &quot;* &quot;-&quot;??_);_(@_)">
                  <c:v>516864.06</c:v>
                </c:pt>
                <c:pt idx="4" formatCode="_(&quot;R$ &quot;* #,##0.00_);_(&quot;R$ &quot;* \(#,##0.00\);_(&quot;R$ &quot;* &quot;-&quot;??_);_(@_)">
                  <c:v>540367.04</c:v>
                </c:pt>
                <c:pt idx="6" formatCode="_(&quot;R$ &quot;* #,##0.00_);_(&quot;R$ &quot;* \(#,##0.00\);_(&quot;R$ &quot;* &quot;-&quot;??_);_(@_)">
                  <c:v>542592.55000000005</c:v>
                </c:pt>
                <c:pt idx="8" formatCode="_(&quot;R$ &quot;* #,##0.00_);_(&quot;R$ &quot;* \(#,##0.00\);_(&quot;R$ &quot;* &quot;-&quot;??_);_(@_)">
                  <c:v>544326.29</c:v>
                </c:pt>
                <c:pt idx="10" formatCode="_(&quot;R$ &quot;* #,##0.00_);_(&quot;R$ &quot;* \(#,##0.00\);_(&quot;R$ &quot;* &quot;-&quot;??_);_(@_)">
                  <c:v>529594.97</c:v>
                </c:pt>
                <c:pt idx="12" formatCode="_(&quot;R$ &quot;* #,##0.00_);_(&quot;R$ &quot;* \(#,##0.00\);_(&quot;R$ &quot;* &quot;-&quot;??_);_(@_)">
                  <c:v>528386.43999999994</c:v>
                </c:pt>
                <c:pt idx="14" formatCode="_(&quot;R$ &quot;* #,##0.00_);_(&quot;R$ &quot;* \(#,##0.00\);_(&quot;R$ &quot;* &quot;-&quot;??_);_(@_)">
                  <c:v>551087.1</c:v>
                </c:pt>
                <c:pt idx="16" formatCode="_(&quot;R$ &quot;* #,##0.00_);_(&quot;R$ &quot;* \(#,##0.00\);_(&quot;R$ &quot;* &quot;-&quot;??_);_(@_)">
                  <c:v>512253.71</c:v>
                </c:pt>
                <c:pt idx="18" formatCode="_(&quot;R$ &quot;* #,##0.00_);_(&quot;R$ &quot;* \(#,##0.00\);_(&quot;R$ &quot;* &quot;-&quot;??_);_(@_)">
                  <c:v>534396.88</c:v>
                </c:pt>
                <c:pt idx="20" formatCode="_(&quot;R$ &quot;* #,##0.00_);_(&quot;R$ &quot;* \(#,##0.00\);_(&quot;R$ &quot;* &quot;-&quot;??_);_(@_)">
                  <c:v>564464.30999999994</c:v>
                </c:pt>
                <c:pt idx="22" formatCode="_(&quot;R$ &quot;* #,##0.00_);_(&quot;R$ &quot;* \(#,##0.00\);_(&quot;R$ &quot;* &quot;-&quot;??_);_(@_)">
                  <c:v>527411.29</c:v>
                </c:pt>
                <c:pt idx="24" formatCode="_(&quot;R$ &quot;* #,##0.00_);_(&quot;R$ &quot;* \(#,##0.00\);_(&quot;R$ &quot;* &quot;-&quot;??_);_(@_)">
                  <c:v>6420503.2400000002</c:v>
                </c:pt>
                <c:pt idx="25" formatCode="_(&quot;R$ &quot;* #,##0.00_);_(&quot;R$ &quot;* \(#,##0.00\);_(&quot;R$ &quot;* &quot;-&quot;??_);_(@_)">
                  <c:v>535041.93666666665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331637680"/>
        <c:axId val="1331638224"/>
        <c:axId val="0"/>
      </c:bar3DChart>
      <c:catAx>
        <c:axId val="13316376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1638224"/>
        <c:crosses val="autoZero"/>
        <c:auto val="1"/>
        <c:lblAlgn val="ctr"/>
        <c:lblOffset val="100"/>
        <c:noMultiLvlLbl val="0"/>
      </c:catAx>
      <c:valAx>
        <c:axId val="133163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$ &quot;* #,##0.00_);_(&quot;R$ &quot;* \(#,##0.00\);_(&quot;R$ 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163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horizontalDpi="0" verticalDpi="0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spPr>
            <a:solidFill>
              <a:srgbClr val="FF99FF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3.3678926981205578E-3"/>
                  <c:y val="-0.134560313445709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'Folha - 19'!$AA$30</c:f>
              <c:numCache>
                <c:formatCode>_("R$ "* #,##0.00_);_("R$ "* \(#,##0.00\);_("R$ "* "-"??_);_(@_)</c:formatCode>
                <c:ptCount val="1"/>
                <c:pt idx="0">
                  <c:v>11757401.540000001</c:v>
                </c:pt>
              </c:numCache>
            </c:numRef>
          </c:val>
        </c:ser>
        <c:ser>
          <c:idx val="2"/>
          <c:order val="1"/>
          <c:spPr>
            <a:solidFill>
              <a:srgbClr val="FF99FF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909725432320048E-3"/>
                  <c:y val="-0.279207321530387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'Folha - 19'!$AB$30</c:f>
              <c:numCache>
                <c:formatCode>_("R$ "* #,##0.00_);_("R$ "* \(#,##0.00\);_("R$ "* "-"??_);_(@_)</c:formatCode>
                <c:ptCount val="1"/>
                <c:pt idx="0">
                  <c:v>979783.46166666679</c:v>
                </c:pt>
              </c:numCache>
            </c:numRef>
          </c:val>
        </c:ser>
        <c:ser>
          <c:idx val="4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2.215795403184135E-2"/>
                  <c:y val="-0.126255464101402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'Folha - 19'!$AA$31</c:f>
              <c:numCache>
                <c:formatCode>_("R$ "* #,##0.00_);_("R$ "* \(#,##0.00\);_("R$ "* "-"??_);_(@_)</c:formatCode>
                <c:ptCount val="1"/>
                <c:pt idx="0">
                  <c:v>6420503.2400000002</c:v>
                </c:pt>
              </c:numCache>
            </c:numRef>
          </c:val>
        </c:ser>
        <c:ser>
          <c:idx val="5"/>
          <c:order val="3"/>
          <c:spPr>
            <a:solidFill>
              <a:srgbClr val="92D05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0538763561380911E-2"/>
                  <c:y val="-0.104677580687987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'Folha - 19'!$AB$31</c:f>
              <c:numCache>
                <c:formatCode>_("R$ "* #,##0.00_);_("R$ "* \(#,##0.00\);_("R$ "* "-"??_);_(@_)</c:formatCode>
                <c:ptCount val="1"/>
                <c:pt idx="0">
                  <c:v>535041.93666666665</c:v>
                </c:pt>
              </c:numCache>
            </c:numRef>
          </c:val>
        </c:ser>
        <c:ser>
          <c:idx val="6"/>
          <c:order val="4"/>
          <c:spPr>
            <a:solidFill>
              <a:srgbClr val="015B3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0359175707587381E-2"/>
                  <c:y val="-2.990729145876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'Folha - 19'!$AA$32</c:f>
              <c:numCache>
                <c:formatCode>_("R$ "* #,##0.00_);_("R$ "* \(#,##0.00\);_("R$ "* "-"??_);_(@_)</c:formatCode>
                <c:ptCount val="1"/>
                <c:pt idx="0">
                  <c:v>5336898.3000000007</c:v>
                </c:pt>
              </c:numCache>
            </c:numRef>
          </c:val>
        </c:ser>
        <c:ser>
          <c:idx val="7"/>
          <c:order val="5"/>
          <c:spPr>
            <a:solidFill>
              <a:srgbClr val="C0000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6260241389875415E-2"/>
                  <c:y val="-8.9648104559874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'Folha - 19'!$AB$32</c:f>
              <c:numCache>
                <c:formatCode>_("R$ "* #,##0.00_);_("R$ "* \(#,##0.00\);_("R$ "* "-"??_);_(@_)</c:formatCode>
                <c:ptCount val="1"/>
                <c:pt idx="0">
                  <c:v>444741.52500000014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31634960"/>
        <c:axId val="1331641488"/>
        <c:axId val="0"/>
      </c:bar3DChart>
      <c:catAx>
        <c:axId val="13316349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1641488"/>
        <c:crosses val="autoZero"/>
        <c:auto val="1"/>
        <c:lblAlgn val="ctr"/>
        <c:lblOffset val="100"/>
        <c:noMultiLvlLbl val="0"/>
      </c:catAx>
      <c:valAx>
        <c:axId val="133164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$ &quot;* #,##0.00_);_(&quot;R$ &quot;* \(#,##0.00\);_(&quot;R$ 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163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spPr>
            <a:solidFill>
              <a:srgbClr val="FF99FF"/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4.847932570525776E-3"/>
                  <c:y val="-1.2295745401004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9087595423154837E-3"/>
                  <c:y val="-2.2132341721807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175190846308962E-3"/>
                  <c:y val="-9.016775798172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551094827907879E-17"/>
                  <c:y val="-2.4591490802007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102189655815759E-17"/>
                  <c:y val="-1.7214043561405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1.2295745401003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087595423154659E-3"/>
                  <c:y val="-1.7214043561405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9.6958651410508417E-4"/>
                  <c:y val="-1.7214043561405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0"/>
                  <c:y val="-1.2295745401004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0"/>
                  <c:y val="-1.2295745401004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4220437931163152E-16"/>
                  <c:y val="-1.2295745401003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1.2295745401004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5.2237761183093125E-2"/>
                  <c:y val="-2.0284299632646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1.9347318956701156E-3"/>
                  <c:y val="-4.586979929705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'Folha - 20 '!$C$8:$AB$8</c:f>
              <c:numCache>
                <c:formatCode>_("R$ "* #,##0.00_);_("R$ "* \(#,##0.00\);_("R$ "* "-"??_);_(@_)</c:formatCode>
                <c:ptCount val="26"/>
                <c:pt idx="0">
                  <c:v>943186.47</c:v>
                </c:pt>
                <c:pt idx="2">
                  <c:v>581346.47</c:v>
                </c:pt>
                <c:pt idx="4">
                  <c:v>1305026.47</c:v>
                </c:pt>
                <c:pt idx="6">
                  <c:v>943186.47</c:v>
                </c:pt>
                <c:pt idx="8">
                  <c:v>943186.47</c:v>
                </c:pt>
                <c:pt idx="10">
                  <c:v>943186.47</c:v>
                </c:pt>
                <c:pt idx="12">
                  <c:v>931860.47</c:v>
                </c:pt>
                <c:pt idx="14">
                  <c:v>928186.47</c:v>
                </c:pt>
                <c:pt idx="16">
                  <c:v>1252650.27</c:v>
                </c:pt>
                <c:pt idx="18">
                  <c:v>1032720.87</c:v>
                </c:pt>
                <c:pt idx="20">
                  <c:v>1032724.67</c:v>
                </c:pt>
                <c:pt idx="22">
                  <c:v>1083677.67</c:v>
                </c:pt>
                <c:pt idx="24">
                  <c:v>11920939.239999998</c:v>
                </c:pt>
                <c:pt idx="25">
                  <c:v>993411.60333333316</c:v>
                </c:pt>
              </c:numCache>
            </c:numRef>
          </c:val>
        </c:ser>
        <c:ser>
          <c:idx val="2"/>
          <c:order val="1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1.9347318956700981E-3"/>
                  <c:y val="-3.7269211928856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013607438492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6736594783505781E-4"/>
                  <c:y val="-3.1535487016724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469675005239716E-17"/>
                  <c:y val="-4.013607438492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9347318956701156E-3"/>
                  <c:y val="-3.4402349472790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7.0939350010479432E-17"/>
                  <c:y val="-3.4402349472790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-4.013607438492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"/>
                  <c:y val="-5.3667733717916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7.0939350010479432E-17"/>
                  <c:y val="-3.7269211928856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0"/>
                  <c:y val="-3.7269211928856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1.9347318956701156E-3"/>
                  <c:y val="-4.3002936840988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4.8368297391751473E-3"/>
                  <c:y val="-0.10320704841837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2D05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'Folha - 20 '!$C$27:$AB$27</c:f>
              <c:numCache>
                <c:formatCode>General</c:formatCode>
                <c:ptCount val="26"/>
                <c:pt idx="0" formatCode="_(&quot;R$ &quot;* #,##0.00_);_(&quot;R$ &quot;* \(#,##0.00\);_(&quot;R$ &quot;* &quot;-&quot;??_);_(@_)">
                  <c:v>526080.48</c:v>
                </c:pt>
                <c:pt idx="2" formatCode="_(&quot;R$ &quot;* #,##0.00_);_(&quot;R$ &quot;* \(#,##0.00\);_(&quot;R$ &quot;* &quot;-&quot;??_);_(@_)">
                  <c:v>554795.63</c:v>
                </c:pt>
                <c:pt idx="4" formatCode="_(&quot;R$ &quot;* #,##0.00_);_(&quot;R$ &quot;* \(#,##0.00\);_(&quot;R$ &quot;* &quot;-&quot;??_);_(@_)">
                  <c:v>534515.39</c:v>
                </c:pt>
                <c:pt idx="6" formatCode="_(&quot;R$ &quot;* #,##0.00_);_(&quot;R$ &quot;* \(#,##0.00\);_(&quot;R$ &quot;* &quot;-&quot;??_);_(@_)">
                  <c:v>574066.02</c:v>
                </c:pt>
                <c:pt idx="8" formatCode="_(&quot;R$ &quot;* #,##0.00_);_(&quot;R$ &quot;* \(#,##0.00\);_(&quot;R$ &quot;* &quot;-&quot;??_);_(@_)">
                  <c:v>588736.55000000005</c:v>
                </c:pt>
                <c:pt idx="10" formatCode="_(&quot;R$ &quot;* #,##0.00_);_(&quot;R$ &quot;* \(#,##0.00\);_(&quot;R$ &quot;* &quot;-&quot;??_);_(@_)">
                  <c:v>568587.51</c:v>
                </c:pt>
                <c:pt idx="12" formatCode="_(&quot;R$ &quot;* #,##0.00_);_(&quot;R$ &quot;* \(#,##0.00\);_(&quot;R$ &quot;* &quot;-&quot;??_);_(@_)">
                  <c:v>592387.52</c:v>
                </c:pt>
                <c:pt idx="14" formatCode="_(&quot;R$ &quot;* #,##0.00_);_(&quot;R$ &quot;* \(#,##0.00\);_(&quot;R$ &quot;* &quot;-&quot;??_);_(@_)">
                  <c:v>644258.67000000004</c:v>
                </c:pt>
                <c:pt idx="16" formatCode="_(&quot;R$ &quot;* #,##0.00_);_(&quot;R$ &quot;* \(#,##0.00\);_(&quot;R$ &quot;* &quot;-&quot;??_);_(@_)">
                  <c:v>620436.63</c:v>
                </c:pt>
                <c:pt idx="18" formatCode="_(&quot;R$ &quot;* #,##0.00_);_(&quot;R$ &quot;* \(#,##0.00\);_(&quot;R$ &quot;* &quot;-&quot;??_);_(@_)">
                  <c:v>590713.15999999992</c:v>
                </c:pt>
                <c:pt idx="20" formatCode="_(&quot;R$ &quot;* #,##0.00_);_(&quot;R$ &quot;* \(#,##0.00\);_(&quot;R$ &quot;* &quot;-&quot;??_);_(@_)">
                  <c:v>627334.08000000007</c:v>
                </c:pt>
                <c:pt idx="22" formatCode="_(&quot;R$ &quot;* #,##0.00_);_(&quot;R$ &quot;* \(#,##0.00\);_(&quot;R$ &quot;* &quot;-&quot;??_);_(@_)">
                  <c:v>547720.46</c:v>
                </c:pt>
                <c:pt idx="24" formatCode="_(&quot;R$ &quot;* #,##0.00_);_(&quot;R$ &quot;* \(#,##0.00\);_(&quot;R$ &quot;* &quot;-&quot;??_);_(@_)">
                  <c:v>6969632.0999999996</c:v>
                </c:pt>
                <c:pt idx="25" formatCode="_(&quot;R$ &quot;* #,##0.00_);_(&quot;R$ &quot;* \(#,##0.00\);_(&quot;R$ &quot;* &quot;-&quot;??_);_(@_)">
                  <c:v>580802.67499999993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331640400"/>
        <c:axId val="1188063136"/>
        <c:axId val="0"/>
      </c:bar3DChart>
      <c:catAx>
        <c:axId val="13316404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063136"/>
        <c:crosses val="autoZero"/>
        <c:auto val="1"/>
        <c:lblAlgn val="ctr"/>
        <c:lblOffset val="100"/>
        <c:noMultiLvlLbl val="0"/>
      </c:catAx>
      <c:valAx>
        <c:axId val="118806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$ &quot;* #,##0.00_);_(&quot;R$ &quot;* \(#,##0.00\);_(&quot;R$ 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164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horizontalDpi="0" verticalDpi="0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spPr>
            <a:solidFill>
              <a:srgbClr val="FF99FF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3.3678926981205578E-3"/>
                  <c:y val="-0.134560313445709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'Folha - 20 '!$AA$30</c:f>
              <c:numCache>
                <c:formatCode>_("R$ "* #,##0.00_);_("R$ "* \(#,##0.00\);_("R$ "* "-"??_);_(@_)</c:formatCode>
                <c:ptCount val="1"/>
                <c:pt idx="0">
                  <c:v>11920939.239999998</c:v>
                </c:pt>
              </c:numCache>
            </c:numRef>
          </c:val>
        </c:ser>
        <c:ser>
          <c:idx val="2"/>
          <c:order val="1"/>
          <c:spPr>
            <a:solidFill>
              <a:srgbClr val="FF99FF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909725432320048E-3"/>
                  <c:y val="-0.279207321530387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'Folha - 20 '!$AB$30</c:f>
              <c:numCache>
                <c:formatCode>_("R$ "* #,##0.00_);_("R$ "* \(#,##0.00\);_("R$ "* "-"??_);_(@_)</c:formatCode>
                <c:ptCount val="1"/>
                <c:pt idx="0">
                  <c:v>993411.60333333316</c:v>
                </c:pt>
              </c:numCache>
            </c:numRef>
          </c:val>
        </c:ser>
        <c:ser>
          <c:idx val="4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2.215795403184135E-2"/>
                  <c:y val="-0.126255464101402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'Folha - 20 '!$AA$31</c:f>
              <c:numCache>
                <c:formatCode>_("R$ "* #,##0.00_);_("R$ "* \(#,##0.00\);_("R$ "* "-"??_);_(@_)</c:formatCode>
                <c:ptCount val="1"/>
                <c:pt idx="0">
                  <c:v>6969632.0999999996</c:v>
                </c:pt>
              </c:numCache>
            </c:numRef>
          </c:val>
        </c:ser>
        <c:ser>
          <c:idx val="5"/>
          <c:order val="3"/>
          <c:spPr>
            <a:solidFill>
              <a:srgbClr val="92D05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0538763561380911E-2"/>
                  <c:y val="-0.104677580687987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'Folha - 20 '!$AB$31</c:f>
              <c:numCache>
                <c:formatCode>_("R$ "* #,##0.00_);_("R$ "* \(#,##0.00\);_("R$ "* "-"??_);_(@_)</c:formatCode>
                <c:ptCount val="1"/>
                <c:pt idx="0">
                  <c:v>580802.67499999993</c:v>
                </c:pt>
              </c:numCache>
            </c:numRef>
          </c:val>
        </c:ser>
        <c:ser>
          <c:idx val="6"/>
          <c:order val="4"/>
          <c:spPr>
            <a:solidFill>
              <a:srgbClr val="015B3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0359175707587381E-2"/>
                  <c:y val="-2.990729145876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'Folha - 20 '!$AA$32</c:f>
              <c:numCache>
                <c:formatCode>_("R$ "* #,##0.00_);_("R$ "* \(#,##0.00\);_("R$ "* "-"??_);_(@_)</c:formatCode>
                <c:ptCount val="1"/>
                <c:pt idx="0">
                  <c:v>4951307.1399999987</c:v>
                </c:pt>
              </c:numCache>
            </c:numRef>
          </c:val>
        </c:ser>
        <c:ser>
          <c:idx val="7"/>
          <c:order val="5"/>
          <c:spPr>
            <a:solidFill>
              <a:srgbClr val="C0000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6260241389875415E-2"/>
                  <c:y val="-8.9648104559874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'Folha - 20 '!$AB$32</c:f>
              <c:numCache>
                <c:formatCode>_("R$ "* #,##0.00_);_("R$ "* \(#,##0.00\);_("R$ "* "-"??_);_(@_)</c:formatCode>
                <c:ptCount val="1"/>
                <c:pt idx="0">
                  <c:v>412608.92833333323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30365424"/>
        <c:axId val="1446390400"/>
        <c:axId val="0"/>
      </c:bar3DChart>
      <c:catAx>
        <c:axId val="13303654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46390400"/>
        <c:crosses val="autoZero"/>
        <c:auto val="1"/>
        <c:lblAlgn val="ctr"/>
        <c:lblOffset val="100"/>
        <c:noMultiLvlLbl val="0"/>
      </c:catAx>
      <c:valAx>
        <c:axId val="144639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$ &quot;* #,##0.00_);_(&quot;R$ &quot;* \(#,##0.00\);_(&quot;R$ 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036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spPr>
            <a:solidFill>
              <a:srgbClr val="FF99FF"/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4.847932570525776E-3"/>
                  <c:y val="-1.2295745401004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9087595423154837E-3"/>
                  <c:y val="-2.2132341721807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175190846308962E-3"/>
                  <c:y val="-9.016775798172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5551094827907879E-17"/>
                  <c:y val="-2.4591490802007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1102189655815759E-17"/>
                  <c:y val="-1.7214043561405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1.2295745401003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087595423154659E-3"/>
                  <c:y val="-1.7214043561405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9.6958651410508417E-4"/>
                  <c:y val="-1.7214043561405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0"/>
                  <c:y val="-1.2295745401004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0"/>
                  <c:y val="-1.2295745401004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4220437931163152E-16"/>
                  <c:y val="-1.2295745401003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1.2295745401004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5.2237761183093125E-2"/>
                  <c:y val="-2.0284299632646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1.9347318956701156E-3"/>
                  <c:y val="-4.586979929705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CC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'Folha - 21'!$C$8:$AB$8</c:f>
              <c:numCache>
                <c:formatCode>_("R$ "* #,##0.00_);_("R$ "* \(#,##0.00\);_("R$ "* "-"??_);_(@_)</c:formatCode>
                <c:ptCount val="26"/>
                <c:pt idx="0">
                  <c:v>2281851.67</c:v>
                </c:pt>
                <c:pt idx="2">
                  <c:v>1079002.97</c:v>
                </c:pt>
                <c:pt idx="4">
                  <c:v>1369236.07</c:v>
                </c:pt>
                <c:pt idx="6">
                  <c:v>1620126.17</c:v>
                </c:pt>
                <c:pt idx="8">
                  <c:v>1608186.47</c:v>
                </c:pt>
                <c:pt idx="10">
                  <c:v>1661886.47</c:v>
                </c:pt>
                <c:pt idx="12">
                  <c:v>1658186.47</c:v>
                </c:pt>
                <c:pt idx="14">
                  <c:v>1658186.47</c:v>
                </c:pt>
                <c:pt idx="16">
                  <c:v>1836186.47</c:v>
                </c:pt>
                <c:pt idx="18">
                  <c:v>1658186.47</c:v>
                </c:pt>
                <c:pt idx="20">
                  <c:v>1658186.47</c:v>
                </c:pt>
                <c:pt idx="22">
                  <c:v>3046711.47</c:v>
                </c:pt>
                <c:pt idx="24">
                  <c:v>21135933.640000001</c:v>
                </c:pt>
                <c:pt idx="25">
                  <c:v>1761327.8033333335</c:v>
                </c:pt>
              </c:numCache>
            </c:numRef>
          </c:val>
        </c:ser>
        <c:ser>
          <c:idx val="2"/>
          <c:order val="1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1.9347318956700981E-3"/>
                  <c:y val="-3.7269211928856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4.013607438492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6736594783505781E-4"/>
                  <c:y val="-3.1535487016724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5469675005239716E-17"/>
                  <c:y val="-4.013607438492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9347318956701156E-3"/>
                  <c:y val="-3.4402349472790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0939350010479432E-17"/>
                  <c:y val="-3.4402349472790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-4.013607438492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-5.3667733717916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7.0939350010479432E-17"/>
                  <c:y val="-3.7269211928856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0"/>
                  <c:y val="-3.7269211928856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1.9347318956701156E-3"/>
                  <c:y val="-4.3002936840988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4.8368297391751473E-3"/>
                  <c:y val="-0.10320704841837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92D05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'Folha - 21'!$C$27:$AB$27</c:f>
              <c:numCache>
                <c:formatCode>General</c:formatCode>
                <c:ptCount val="26"/>
                <c:pt idx="0" formatCode="_(&quot;R$ &quot;* #,##0.00_);_(&quot;R$ &quot;* \(#,##0.00\);_(&quot;R$ &quot;* &quot;-&quot;??_);_(@_)">
                  <c:v>632399.42000000004</c:v>
                </c:pt>
                <c:pt idx="2" formatCode="_(&quot;R$ &quot;* #,##0.00_);_(&quot;R$ &quot;* \(#,##0.00\);_(&quot;R$ &quot;* &quot;-&quot;??_);_(@_)">
                  <c:v>610011.39</c:v>
                </c:pt>
                <c:pt idx="4" formatCode="_(&quot;R$ &quot;* #,##0.00_);_(&quot;R$ &quot;* \(#,##0.00\);_(&quot;R$ &quot;* &quot;-&quot;??_);_(@_)">
                  <c:v>659106.69000000006</c:v>
                </c:pt>
                <c:pt idx="6" formatCode="_(&quot;R$ &quot;* #,##0.00_);_(&quot;R$ &quot;* \(#,##0.00\);_(&quot;R$ &quot;* &quot;-&quot;??_);_(@_)">
                  <c:v>621747.74</c:v>
                </c:pt>
                <c:pt idx="8" formatCode="_(&quot;R$ &quot;* #,##0.00_);_(&quot;R$ &quot;* \(#,##0.00\);_(&quot;R$ &quot;* &quot;-&quot;??_);_(@_)">
                  <c:v>656877.82000000007</c:v>
                </c:pt>
                <c:pt idx="10" formatCode="_(&quot;R$ &quot;* #,##0.00_);_(&quot;R$ &quot;* \(#,##0.00\);_(&quot;R$ &quot;* &quot;-&quot;??_);_(@_)">
                  <c:v>607467.64</c:v>
                </c:pt>
                <c:pt idx="12" formatCode="_(&quot;R$ &quot;* #,##0.00_);_(&quot;R$ &quot;* \(#,##0.00\);_(&quot;R$ &quot;* &quot;-&quot;??_);_(@_)">
                  <c:v>603490.67999999993</c:v>
                </c:pt>
                <c:pt idx="14" formatCode="_(&quot;R$ &quot;* #,##0.00_);_(&quot;R$ &quot;* \(#,##0.00\);_(&quot;R$ &quot;* &quot;-&quot;??_);_(@_)">
                  <c:v>601519.96000000008</c:v>
                </c:pt>
                <c:pt idx="16" formatCode="_(&quot;R$ &quot;* #,##0.00_);_(&quot;R$ &quot;* \(#,##0.00\);_(&quot;R$ &quot;* &quot;-&quot;??_);_(@_)">
                  <c:v>598699.1</c:v>
                </c:pt>
                <c:pt idx="18" formatCode="_(&quot;R$ &quot;* #,##0.00_);_(&quot;R$ &quot;* \(#,##0.00\);_(&quot;R$ &quot;* &quot;-&quot;??_);_(@_)">
                  <c:v>636856.67999999993</c:v>
                </c:pt>
                <c:pt idx="20" formatCode="_(&quot;R$ &quot;* #,##0.00_);_(&quot;R$ &quot;* \(#,##0.00\);_(&quot;R$ &quot;* &quot;-&quot;??_);_(@_)">
                  <c:v>686414.14</c:v>
                </c:pt>
                <c:pt idx="22" formatCode="_(&quot;R$ &quot;* #,##0.00_);_(&quot;R$ &quot;* \(#,##0.00\);_(&quot;R$ &quot;* &quot;-&quot;??_);_(@_)">
                  <c:v>669137.42999999993</c:v>
                </c:pt>
                <c:pt idx="24" formatCode="_(&quot;R$ &quot;* #,##0.00_);_(&quot;R$ &quot;* \(#,##0.00\);_(&quot;R$ &quot;* &quot;-&quot;??_);_(@_)">
                  <c:v>7583728.6899999995</c:v>
                </c:pt>
                <c:pt idx="25" formatCode="_(&quot;R$ &quot;* #,##0.00_);_(&quot;R$ &quot;* \(#,##0.00\);_(&quot;R$ &quot;* &quot;-&quot;??_);_(@_)">
                  <c:v>631977.39083333337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446394752"/>
        <c:axId val="1446395296"/>
        <c:axId val="0"/>
      </c:bar3DChart>
      <c:catAx>
        <c:axId val="14463947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46395296"/>
        <c:crosses val="autoZero"/>
        <c:auto val="1"/>
        <c:lblAlgn val="ctr"/>
        <c:lblOffset val="100"/>
        <c:noMultiLvlLbl val="0"/>
      </c:catAx>
      <c:valAx>
        <c:axId val="144639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$ &quot;* #,##0.00_);_(&quot;R$ &quot;* \(#,##0.00\);_(&quot;R$ 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4639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horizontalDpi="0" verticalDpi="0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spPr>
            <a:solidFill>
              <a:srgbClr val="FF99FF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3.3678926981205578E-3"/>
                  <c:y val="-0.134560313445709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'Folha - 21'!$AA$30</c:f>
              <c:numCache>
                <c:formatCode>_("R$ "* #,##0.00_);_("R$ "* \(#,##0.00\);_("R$ "* "-"??_);_(@_)</c:formatCode>
                <c:ptCount val="1"/>
                <c:pt idx="0">
                  <c:v>21135933.640000001</c:v>
                </c:pt>
              </c:numCache>
            </c:numRef>
          </c:val>
        </c:ser>
        <c:ser>
          <c:idx val="2"/>
          <c:order val="1"/>
          <c:spPr>
            <a:solidFill>
              <a:srgbClr val="FF99FF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909725432320048E-3"/>
                  <c:y val="-0.279207321530387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'Folha - 21'!$AB$30</c:f>
              <c:numCache>
                <c:formatCode>_("R$ "* #,##0.00_);_("R$ "* \(#,##0.00\);_("R$ "* "-"??_);_(@_)</c:formatCode>
                <c:ptCount val="1"/>
                <c:pt idx="0">
                  <c:v>1761327.8033333335</c:v>
                </c:pt>
              </c:numCache>
            </c:numRef>
          </c:val>
        </c:ser>
        <c:ser>
          <c:idx val="4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2.215795403184135E-2"/>
                  <c:y val="-0.126255464101402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'Folha - 21'!$AA$31</c:f>
              <c:numCache>
                <c:formatCode>_("R$ "* #,##0.00_);_("R$ "* \(#,##0.00\);_("R$ "* "-"??_);_(@_)</c:formatCode>
                <c:ptCount val="1"/>
                <c:pt idx="0">
                  <c:v>7583728.6899999995</c:v>
                </c:pt>
              </c:numCache>
            </c:numRef>
          </c:val>
        </c:ser>
        <c:ser>
          <c:idx val="5"/>
          <c:order val="3"/>
          <c:spPr>
            <a:solidFill>
              <a:srgbClr val="92D05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0538763561380911E-2"/>
                  <c:y val="-0.104677580687987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'Folha - 21'!$AB$31</c:f>
              <c:numCache>
                <c:formatCode>_("R$ "* #,##0.00_);_("R$ "* \(#,##0.00\);_("R$ "* "-"??_);_(@_)</c:formatCode>
                <c:ptCount val="1"/>
                <c:pt idx="0">
                  <c:v>631977.39083333337</c:v>
                </c:pt>
              </c:numCache>
            </c:numRef>
          </c:val>
        </c:ser>
        <c:ser>
          <c:idx val="6"/>
          <c:order val="4"/>
          <c:spPr>
            <a:solidFill>
              <a:srgbClr val="015B3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0359175707587381E-2"/>
                  <c:y val="-2.990729145876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'Folha - 21'!$AA$32</c:f>
              <c:numCache>
                <c:formatCode>_("R$ "* #,##0.00_);_("R$ "* \(#,##0.00\);_("R$ "* "-"??_);_(@_)</c:formatCode>
                <c:ptCount val="1"/>
                <c:pt idx="0">
                  <c:v>13552204.950000001</c:v>
                </c:pt>
              </c:numCache>
            </c:numRef>
          </c:val>
        </c:ser>
        <c:ser>
          <c:idx val="7"/>
          <c:order val="5"/>
          <c:spPr>
            <a:solidFill>
              <a:srgbClr val="C0000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6260241389875415E-2"/>
                  <c:y val="-8.9648104559874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'Folha - 21'!$AB$32</c:f>
              <c:numCache>
                <c:formatCode>_("R$ "* #,##0.00_);_("R$ "* \(#,##0.00\);_("R$ "* "-"??_);_(@_)</c:formatCode>
                <c:ptCount val="1"/>
                <c:pt idx="0">
                  <c:v>1129350.4125000001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46386048"/>
        <c:axId val="1446383328"/>
        <c:axId val="0"/>
      </c:bar3DChart>
      <c:catAx>
        <c:axId val="14463860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46383328"/>
        <c:crosses val="autoZero"/>
        <c:auto val="1"/>
        <c:lblAlgn val="ctr"/>
        <c:lblOffset val="100"/>
        <c:noMultiLvlLbl val="0"/>
      </c:catAx>
      <c:valAx>
        <c:axId val="14463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$ &quot;* #,##0.00_);_(&quot;R$ &quot;* \(#,##0.00\);_(&quot;R$ 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4638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1053353</xdr:colOff>
      <xdr:row>59</xdr:row>
      <xdr:rowOff>45942</xdr:rowOff>
    </xdr:from>
    <xdr:to>
      <xdr:col>24</xdr:col>
      <xdr:colOff>291352</xdr:colOff>
      <xdr:row>85</xdr:row>
      <xdr:rowOff>11206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347383</xdr:colOff>
      <xdr:row>55</xdr:row>
      <xdr:rowOff>90767</xdr:rowOff>
    </xdr:from>
    <xdr:to>
      <xdr:col>15</xdr:col>
      <xdr:colOff>818031</xdr:colOff>
      <xdr:row>79</xdr:row>
      <xdr:rowOff>78440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347383</xdr:colOff>
      <xdr:row>55</xdr:row>
      <xdr:rowOff>90767</xdr:rowOff>
    </xdr:from>
    <xdr:to>
      <xdr:col>15</xdr:col>
      <xdr:colOff>818031</xdr:colOff>
      <xdr:row>79</xdr:row>
      <xdr:rowOff>78440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7116</xdr:colOff>
      <xdr:row>32</xdr:row>
      <xdr:rowOff>34196</xdr:rowOff>
    </xdr:from>
    <xdr:to>
      <xdr:col>26</xdr:col>
      <xdr:colOff>849218</xdr:colOff>
      <xdr:row>58</xdr:row>
      <xdr:rowOff>126235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57379</xdr:colOff>
      <xdr:row>34</xdr:row>
      <xdr:rowOff>68624</xdr:rowOff>
    </xdr:from>
    <xdr:to>
      <xdr:col>24</xdr:col>
      <xdr:colOff>172138</xdr:colOff>
      <xdr:row>50</xdr:row>
      <xdr:rowOff>68856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0.08448</cdr:x>
      <cdr:y>0.89646</cdr:y>
    </cdr:from>
    <cdr:to>
      <cdr:x>0.96523</cdr:x>
      <cdr:y>0.93088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106583" y="4629686"/>
          <a:ext cx="11536355" cy="177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1100" b="1"/>
            <a:t>  Jan                       Fev                      Mar                    Abr                      Mai                    Jun                        jul                       Ago                    Set                     Out                      Nov                     Dez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741573</xdr:colOff>
      <xdr:row>33</xdr:row>
      <xdr:rowOff>34197</xdr:rowOff>
    </xdr:from>
    <xdr:to>
      <xdr:col>26</xdr:col>
      <xdr:colOff>791838</xdr:colOff>
      <xdr:row>59</xdr:row>
      <xdr:rowOff>126235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57379</xdr:colOff>
      <xdr:row>34</xdr:row>
      <xdr:rowOff>68624</xdr:rowOff>
    </xdr:from>
    <xdr:to>
      <xdr:col>24</xdr:col>
      <xdr:colOff>172138</xdr:colOff>
      <xdr:row>50</xdr:row>
      <xdr:rowOff>68856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0.08859</cdr:x>
      <cdr:y>0.91424</cdr:y>
    </cdr:from>
    <cdr:to>
      <cdr:x>0.96934</cdr:x>
      <cdr:y>0.94866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160356" y="4721493"/>
          <a:ext cx="11536355" cy="177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1100" b="1"/>
            <a:t>  Jan                       Fev                      Mar                    Abr                      Mai                    Jun                        jul                       Ago                    Set                     Out                      Nov                     Dez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741573</xdr:colOff>
      <xdr:row>33</xdr:row>
      <xdr:rowOff>34197</xdr:rowOff>
    </xdr:from>
    <xdr:to>
      <xdr:col>26</xdr:col>
      <xdr:colOff>791838</xdr:colOff>
      <xdr:row>59</xdr:row>
      <xdr:rowOff>126235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57379</xdr:colOff>
      <xdr:row>34</xdr:row>
      <xdr:rowOff>68624</xdr:rowOff>
    </xdr:from>
    <xdr:to>
      <xdr:col>24</xdr:col>
      <xdr:colOff>172138</xdr:colOff>
      <xdr:row>50</xdr:row>
      <xdr:rowOff>68856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0.08859</cdr:x>
      <cdr:y>0.91424</cdr:y>
    </cdr:from>
    <cdr:to>
      <cdr:x>0.96934</cdr:x>
      <cdr:y>0.94866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160356" y="4721493"/>
          <a:ext cx="11536355" cy="177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1100" b="1"/>
            <a:t>  Jan                       Fev                      Mar                    Abr                      Mai                    Jun                        jul                       Ago                    Set                     Out                      Nov                     Dez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M172"/>
  <sheetViews>
    <sheetView topLeftCell="A82" zoomScale="91" zoomScaleNormal="91" workbookViewId="0">
      <selection activeCell="E12" sqref="E12"/>
    </sheetView>
  </sheetViews>
  <sheetFormatPr defaultRowHeight="15" x14ac:dyDescent="0.25"/>
  <cols>
    <col min="1" max="1" width="34.42578125" customWidth="1"/>
    <col min="2" max="2" width="0.5703125" customWidth="1"/>
    <col min="3" max="3" width="15.5703125" bestFit="1" customWidth="1"/>
    <col min="4" max="4" width="0.7109375" customWidth="1"/>
    <col min="5" max="5" width="15.5703125" style="31" bestFit="1" customWidth="1"/>
    <col min="6" max="6" width="0.85546875" customWidth="1"/>
    <col min="7" max="7" width="14.85546875" style="31" bestFit="1" customWidth="1"/>
    <col min="8" max="8" width="0.85546875" customWidth="1"/>
    <col min="9" max="9" width="14.85546875" style="31" bestFit="1" customWidth="1"/>
    <col min="10" max="10" width="0.7109375" customWidth="1"/>
    <col min="11" max="11" width="14.85546875" style="75" bestFit="1" customWidth="1"/>
    <col min="12" max="12" width="0.7109375" customWidth="1"/>
    <col min="13" max="13" width="16.42578125" bestFit="1" customWidth="1"/>
  </cols>
  <sheetData>
    <row r="1" spans="1:13" ht="15.75" x14ac:dyDescent="0.25">
      <c r="M1" s="93">
        <v>1</v>
      </c>
    </row>
    <row r="2" spans="1:13" ht="31.5" x14ac:dyDescent="0.5">
      <c r="C2" s="305" t="s">
        <v>204</v>
      </c>
      <c r="D2" s="305"/>
      <c r="E2" s="305"/>
      <c r="F2" s="305"/>
      <c r="G2" s="305"/>
      <c r="H2" s="305"/>
      <c r="I2" s="305"/>
      <c r="J2" s="305"/>
      <c r="K2" s="305"/>
    </row>
    <row r="3" spans="1:13" ht="31.5" x14ac:dyDescent="0.5">
      <c r="C3" s="305" t="s">
        <v>205</v>
      </c>
      <c r="D3" s="305"/>
      <c r="E3" s="305"/>
      <c r="F3" s="305"/>
      <c r="G3" s="305"/>
      <c r="H3" s="305"/>
      <c r="I3" s="305"/>
      <c r="J3" s="305"/>
      <c r="K3" s="305"/>
    </row>
    <row r="4" spans="1:13" s="3" customFormat="1" x14ac:dyDescent="0.25">
      <c r="C4" s="3" t="s">
        <v>106</v>
      </c>
      <c r="E4" s="33" t="s">
        <v>107</v>
      </c>
      <c r="G4" s="33" t="s">
        <v>108</v>
      </c>
      <c r="I4" s="33" t="s">
        <v>109</v>
      </c>
      <c r="K4" s="3" t="s">
        <v>110</v>
      </c>
    </row>
    <row r="5" spans="1:13" s="3" customFormat="1" x14ac:dyDescent="0.25">
      <c r="C5" s="3">
        <v>2015</v>
      </c>
      <c r="E5" s="33">
        <v>2015</v>
      </c>
      <c r="G5" s="33">
        <v>2015</v>
      </c>
      <c r="I5" s="33">
        <v>2015</v>
      </c>
      <c r="K5" s="3">
        <v>2015</v>
      </c>
    </row>
    <row r="6" spans="1:13" s="2" customFormat="1" x14ac:dyDescent="0.25">
      <c r="A6" s="115" t="s">
        <v>230</v>
      </c>
      <c r="B6" s="3"/>
      <c r="C6" s="1">
        <f>SUM(C15)</f>
        <v>67737.25</v>
      </c>
      <c r="D6" s="1"/>
      <c r="E6" s="1">
        <f>SUM(E15)</f>
        <v>280818.91000000003</v>
      </c>
      <c r="F6" s="1"/>
      <c r="G6" s="1">
        <f>SUM(G15)</f>
        <v>170363.81</v>
      </c>
      <c r="H6" s="1"/>
      <c r="I6" s="1">
        <f>SUM(I15)</f>
        <v>178000.63</v>
      </c>
      <c r="J6" s="1"/>
      <c r="K6" s="1">
        <f>SUM(K15)</f>
        <v>195313.04000000004</v>
      </c>
      <c r="M6" s="10">
        <f>SUM(C6:K6)</f>
        <v>892233.64000000013</v>
      </c>
    </row>
    <row r="7" spans="1:13" x14ac:dyDescent="0.25">
      <c r="A7" s="115" t="s">
        <v>231</v>
      </c>
      <c r="B7" s="3"/>
      <c r="C7" s="1">
        <f>SUM(C157)</f>
        <v>159416.79500000001</v>
      </c>
      <c r="D7" s="1"/>
      <c r="E7" s="1">
        <f>SUM(E157)</f>
        <v>258379.35000000003</v>
      </c>
      <c r="F7" s="1"/>
      <c r="G7" s="1">
        <f>SUM(G157)</f>
        <v>184309.57</v>
      </c>
      <c r="H7" s="1"/>
      <c r="I7" s="1">
        <f>SUM(I157)</f>
        <v>182918.89999999997</v>
      </c>
      <c r="J7" s="1"/>
      <c r="K7" s="1">
        <f>SUM(K157)</f>
        <v>215100.02000000002</v>
      </c>
      <c r="M7" s="10">
        <f>SUM(C7:K7)</f>
        <v>1000124.635</v>
      </c>
    </row>
    <row r="8" spans="1:13" s="35" customFormat="1" x14ac:dyDescent="0.25">
      <c r="A8" s="31"/>
      <c r="C8" s="82">
        <f>SUM(C6-C7)</f>
        <v>-91679.545000000013</v>
      </c>
      <c r="E8" s="82">
        <f>SUM(E6-E7)</f>
        <v>22439.559999999998</v>
      </c>
      <c r="G8" s="82">
        <f>SUM(G6-G7)</f>
        <v>-13945.760000000009</v>
      </c>
      <c r="I8" s="82">
        <f>SUM(I6-I7)</f>
        <v>-4918.2699999999604</v>
      </c>
      <c r="K8" s="83">
        <f>SUM(K6-K7)</f>
        <v>-19786.979999999981</v>
      </c>
      <c r="M8" s="84">
        <f>SUM(C8:K8)</f>
        <v>-107890.99499999997</v>
      </c>
    </row>
    <row r="9" spans="1:13" s="35" customFormat="1" ht="21" x14ac:dyDescent="0.4">
      <c r="A9" s="44" t="s">
        <v>206</v>
      </c>
      <c r="C9" s="68"/>
      <c r="E9" s="68"/>
      <c r="G9" s="68"/>
      <c r="I9" s="68"/>
      <c r="K9" s="73"/>
      <c r="M9" s="71"/>
    </row>
    <row r="10" spans="1:13" s="35" customFormat="1" ht="16.5" x14ac:dyDescent="0.3">
      <c r="A10" s="72" t="s">
        <v>207</v>
      </c>
      <c r="C10" s="73">
        <f>46028.39</f>
        <v>46028.39</v>
      </c>
      <c r="D10" s="85"/>
      <c r="E10" s="73">
        <f>2495.13+41577.04+2495.13+17407.85</f>
        <v>63975.149999999994</v>
      </c>
      <c r="F10" s="85"/>
      <c r="G10" s="73">
        <f>2495.13+17407.85+46093.63</f>
        <v>65996.61</v>
      </c>
      <c r="H10" s="85"/>
      <c r="I10" s="73">
        <f>2495.13+17407.85+46120.82+6174.81</f>
        <v>72198.61</v>
      </c>
      <c r="J10" s="85"/>
      <c r="K10" s="73">
        <f>6174.81+2495.13+17407.85+39926.98</f>
        <v>66004.77</v>
      </c>
      <c r="L10" s="85"/>
      <c r="M10" s="86">
        <f>SUM(C10+E10+G10+I10+K10)</f>
        <v>314203.53000000003</v>
      </c>
    </row>
    <row r="11" spans="1:13" s="35" customFormat="1" ht="16.5" x14ac:dyDescent="0.3">
      <c r="A11" s="72" t="s">
        <v>208</v>
      </c>
      <c r="C11" s="73">
        <v>0</v>
      </c>
      <c r="D11" s="85"/>
      <c r="E11" s="73">
        <f>70250</f>
        <v>70250</v>
      </c>
      <c r="F11" s="85"/>
      <c r="G11" s="73">
        <f>70250</f>
        <v>70250</v>
      </c>
      <c r="H11" s="85"/>
      <c r="I11" s="73">
        <v>70250</v>
      </c>
      <c r="J11" s="85"/>
      <c r="K11" s="73">
        <f>70250</f>
        <v>70250</v>
      </c>
      <c r="L11" s="85"/>
      <c r="M11" s="86">
        <f t="shared" ref="M11:M14" si="0">SUM(C11+E11+G11+I11+K11)</f>
        <v>281000</v>
      </c>
    </row>
    <row r="12" spans="1:13" s="35" customFormat="1" ht="16.5" x14ac:dyDescent="0.3">
      <c r="A12" s="72" t="s">
        <v>209</v>
      </c>
      <c r="C12" s="73">
        <f>21708.86</f>
        <v>21708.86</v>
      </c>
      <c r="D12" s="85"/>
      <c r="E12" s="73">
        <f>48653.76</f>
        <v>48653.760000000002</v>
      </c>
      <c r="F12" s="85"/>
      <c r="G12" s="73">
        <f>25000+9117.2</f>
        <v>34117.199999999997</v>
      </c>
      <c r="H12" s="85"/>
      <c r="I12" s="73">
        <f>10552.02+25000</f>
        <v>35552.020000000004</v>
      </c>
      <c r="J12" s="85"/>
      <c r="K12" s="73">
        <f>25000+9058.27+25000</f>
        <v>59058.270000000004</v>
      </c>
      <c r="L12" s="85"/>
      <c r="M12" s="86">
        <f t="shared" si="0"/>
        <v>199090.11</v>
      </c>
    </row>
    <row r="13" spans="1:13" s="35" customFormat="1" ht="16.5" x14ac:dyDescent="0.3">
      <c r="A13" s="72" t="s">
        <v>232</v>
      </c>
      <c r="C13" s="73">
        <v>0</v>
      </c>
      <c r="D13" s="85"/>
      <c r="E13" s="73">
        <f>9500+85500</f>
        <v>95000</v>
      </c>
      <c r="F13" s="85"/>
      <c r="G13" s="73">
        <v>0</v>
      </c>
      <c r="H13" s="85"/>
      <c r="I13" s="73">
        <v>0</v>
      </c>
      <c r="J13" s="85"/>
      <c r="K13" s="73">
        <v>0</v>
      </c>
      <c r="L13" s="85"/>
      <c r="M13" s="86">
        <f t="shared" si="0"/>
        <v>95000</v>
      </c>
    </row>
    <row r="14" spans="1:13" s="35" customFormat="1" ht="16.5" x14ac:dyDescent="0.3">
      <c r="A14" s="72" t="s">
        <v>210</v>
      </c>
      <c r="C14" s="73">
        <v>0</v>
      </c>
      <c r="D14" s="85"/>
      <c r="E14" s="73">
        <f>2940</f>
        <v>2940</v>
      </c>
      <c r="F14" s="85"/>
      <c r="G14" s="73">
        <v>0</v>
      </c>
      <c r="H14" s="85"/>
      <c r="I14" s="73">
        <v>0</v>
      </c>
      <c r="J14" s="85"/>
      <c r="K14" s="73">
        <v>0</v>
      </c>
      <c r="L14" s="85"/>
      <c r="M14" s="86">
        <f t="shared" si="0"/>
        <v>2940</v>
      </c>
    </row>
    <row r="15" spans="1:13" s="35" customFormat="1" ht="21" x14ac:dyDescent="0.4">
      <c r="A15" s="70"/>
      <c r="C15" s="82">
        <f>SUM(C10:C14)</f>
        <v>67737.25</v>
      </c>
      <c r="E15" s="82">
        <f>SUM(E10:E14)</f>
        <v>280818.91000000003</v>
      </c>
      <c r="G15" s="82">
        <f>SUM(G10:G14)</f>
        <v>170363.81</v>
      </c>
      <c r="I15" s="82">
        <f>SUM(I10:I14)</f>
        <v>178000.63</v>
      </c>
      <c r="K15" s="82">
        <f>SUM(K10:K14)</f>
        <v>195313.04000000004</v>
      </c>
      <c r="M15" s="87">
        <f>SUM(M10:M14)</f>
        <v>892233.64</v>
      </c>
    </row>
    <row r="16" spans="1:13" s="8" customFormat="1" ht="21" x14ac:dyDescent="0.4">
      <c r="A16" s="44" t="s">
        <v>60</v>
      </c>
      <c r="C16" s="68"/>
      <c r="D16" s="35"/>
      <c r="E16" s="68"/>
      <c r="F16" s="35"/>
      <c r="G16" s="68"/>
      <c r="H16" s="35"/>
      <c r="I16" s="68"/>
      <c r="J16" s="35"/>
      <c r="K16" s="73"/>
      <c r="M16" s="10"/>
    </row>
    <row r="17" spans="1:13" ht="15.75" x14ac:dyDescent="0.3">
      <c r="A17" s="45" t="s">
        <v>111</v>
      </c>
      <c r="B17" s="32"/>
      <c r="C17" s="6"/>
      <c r="D17" s="31"/>
      <c r="E17" s="6"/>
      <c r="F17" s="31"/>
      <c r="G17" s="6"/>
      <c r="H17" s="31"/>
      <c r="I17" s="6"/>
      <c r="J17" s="31"/>
      <c r="K17" s="74"/>
      <c r="L17" s="31"/>
      <c r="M17" s="76"/>
    </row>
    <row r="18" spans="1:13" ht="15.75" x14ac:dyDescent="0.3">
      <c r="A18" s="41" t="s">
        <v>62</v>
      </c>
      <c r="B18" s="9"/>
      <c r="C18" s="1">
        <f>750+1212.9+1400+1212.9+1212.9+1212.9+724+750+724+1212.9+1300+1141.07+2150+2205.54+300+850+850+1332+4000+850+3045.5+1100+724+724+750+2470.2+724+1141.07+2100+900+1141.07+900+3045.5+1200+850+550</f>
        <v>46756.45</v>
      </c>
      <c r="E18" s="34">
        <f>1400+788+1200+850+788+1141.07+900+788+2470.2+550+1212.9+788+1141.07+788+3045.5+900+1100+2100+1212.9+1212.9+1212.9+1212.9+1212.9+788+788+788+1212.9+1300+1141.07+2205.54+850+1212.9+850+1332+4000+850+3045.5+640.9+494.52</f>
        <v>49514.570000000007</v>
      </c>
      <c r="G18" s="34">
        <f>1212.9+1212.9+788+788+788+1300+80.86+1141.07+2150+788.33+56.67+1212.9+850+1332+4000+1212.9+1141.07+2270+1400+1479+850+1100+1141.07+900+788+788+3045.5+788+2470.2+788+1200+550+1141.07</f>
        <v>40754.439999999995</v>
      </c>
      <c r="I18" s="34">
        <f>788+1212.9+1212.9+1141.07+1212.9+1212.9+850+788+788+900+1141.07+2078.33+788+1212.9+3045.5+793.33+1200+1212.9+850+1332+788+390+850+2842.47+788+2205.54+1400+1479+1132.04+366.67+1141.07+56.67</f>
        <v>37200.160000000003</v>
      </c>
      <c r="K18" s="60">
        <f>1212.9+788+1212.9+788+1212.9+2150+733.33+850+1212.9+850+793.33+1332+3045.5+203.03+1212.9+1141.07+1479+1141.07+850+1141.07+900+788+1200+2270+788+1837.95+900+788+1141.07+4000+1333.33+1300+433.33+2470.2+550+3045.5+1212.8</f>
        <v>48308.080000000009</v>
      </c>
      <c r="M18" s="11">
        <f>SUM(C18+E18+G18+I18+K18)</f>
        <v>222533.7</v>
      </c>
    </row>
    <row r="19" spans="1:13" ht="15.75" x14ac:dyDescent="0.3">
      <c r="A19" s="41" t="s">
        <v>166</v>
      </c>
      <c r="B19" s="9"/>
      <c r="C19" s="1">
        <f>700</f>
        <v>700</v>
      </c>
      <c r="E19" s="34">
        <f>1000+13.23</f>
        <v>1013.23</v>
      </c>
      <c r="G19" s="34">
        <f>1000+13.38+788</f>
        <v>1801.38</v>
      </c>
      <c r="I19" s="34">
        <f>1000+13.38</f>
        <v>1013.38</v>
      </c>
      <c r="K19" s="60">
        <f>266.67</f>
        <v>266.67</v>
      </c>
      <c r="M19" s="11">
        <f t="shared" ref="M19:M53" si="1">SUM(C19+E19+G19+I19+K19)</f>
        <v>4794.66</v>
      </c>
    </row>
    <row r="20" spans="1:13" ht="15.75" x14ac:dyDescent="0.3">
      <c r="A20" s="41" t="s">
        <v>173</v>
      </c>
      <c r="B20" s="9"/>
      <c r="C20" s="1">
        <f>24.66+49.32+24.66</f>
        <v>98.64</v>
      </c>
      <c r="E20" s="34">
        <f>26.2+26.2+52.4</f>
        <v>104.8</v>
      </c>
      <c r="G20" s="34">
        <f>52.4+26.2+26.2</f>
        <v>104.8</v>
      </c>
      <c r="I20" s="34">
        <f>26.2</f>
        <v>26.2</v>
      </c>
      <c r="K20" s="60">
        <f>26.2+26.2</f>
        <v>52.4</v>
      </c>
      <c r="M20" s="11">
        <f t="shared" si="1"/>
        <v>386.84</v>
      </c>
    </row>
    <row r="21" spans="1:13" ht="15.75" x14ac:dyDescent="0.3">
      <c r="A21" s="41" t="s">
        <v>167</v>
      </c>
      <c r="B21" s="9"/>
      <c r="C21" s="1">
        <f>9.16</f>
        <v>9.16</v>
      </c>
      <c r="E21" s="34">
        <v>0</v>
      </c>
      <c r="G21" s="34">
        <v>0</v>
      </c>
      <c r="I21" s="34">
        <v>0</v>
      </c>
      <c r="K21" s="60">
        <f>3.57</f>
        <v>3.57</v>
      </c>
      <c r="M21" s="11">
        <f t="shared" si="1"/>
        <v>12.73</v>
      </c>
    </row>
    <row r="22" spans="1:13" ht="15.75" x14ac:dyDescent="0.3">
      <c r="A22" s="41" t="s">
        <v>159</v>
      </c>
      <c r="B22" s="9"/>
      <c r="C22" s="1">
        <f>22.27+4.25+10.34+0.81+6.32+21.71+24.86+4.54+1.19+31.93+4.46+1.02+31.66+3.36+9.07+38.34+14.28+19.76</f>
        <v>250.17000000000002</v>
      </c>
      <c r="E22" s="34">
        <f>2.14+25.12+15.97+25.9+5.13+0.36+9.45+7.93+0.6+2.22+10.41+0.81+3.16+11.2+1.6+1.99+0.81+10+33.06+2.15</f>
        <v>170.01</v>
      </c>
      <c r="G22" s="34">
        <f>1.69+15.9+0.41+1.2+1.24+5.83+10.37+1.4+6.17+230+8.84+4.5+6.91+3.58+4.05+0.57</f>
        <v>302.65999999999997</v>
      </c>
      <c r="I22" s="34">
        <f>2.32+2.19+4.58+6.93+0.99+1.51+2.85+6.65+3.32+30.2+0.65+0.72+4.12+0.62+0.65+2.07+14.83</f>
        <v>85.2</v>
      </c>
      <c r="K22" s="60">
        <f>2.42+9.02+24.76+3.02+27.61+43.33+1.94+23.01+23.77+39.06+1.43+7.6+43.85+23.38+66.6+0.76+7.31</f>
        <v>348.87000000000006</v>
      </c>
      <c r="M22" s="11">
        <f t="shared" si="1"/>
        <v>1156.9100000000001</v>
      </c>
    </row>
    <row r="23" spans="1:13" ht="15.75" x14ac:dyDescent="0.3">
      <c r="A23" s="41" t="s">
        <v>164</v>
      </c>
      <c r="B23" s="9"/>
      <c r="C23" s="1">
        <f>80</f>
        <v>80</v>
      </c>
      <c r="E23" s="34">
        <f>80</f>
        <v>80</v>
      </c>
      <c r="G23" s="34">
        <f>80</f>
        <v>80</v>
      </c>
      <c r="I23" s="34">
        <f>80</f>
        <v>80</v>
      </c>
      <c r="K23" s="60">
        <f>80</f>
        <v>80</v>
      </c>
      <c r="M23" s="11">
        <f t="shared" si="1"/>
        <v>400</v>
      </c>
    </row>
    <row r="24" spans="1:13" ht="15.75" x14ac:dyDescent="0.3">
      <c r="A24" s="41" t="s">
        <v>157</v>
      </c>
      <c r="B24" s="9"/>
      <c r="C24" s="1">
        <f>17.88+53.76+14.52+11.85+121.82+23.61+9.52+3.02+23.2+102.76+35.54+40.39+17.47+44.67+4.07</f>
        <v>524.08000000000004</v>
      </c>
      <c r="E24" s="34">
        <f>11.12+12.72+18.57+17.51+1.88+14.76+41.24+3.62+11.54+4.77+4.23+16.41+35.52+8.31+10.33+4.21+52.02+21.26+7.89</f>
        <v>297.91000000000003</v>
      </c>
      <c r="G24" s="34">
        <f>3.26+2.45+7.21+7.46+30.32+3.26+31.76+36.31+3.42+53.04+27+41.48+16.41+13.42</f>
        <v>276.8</v>
      </c>
      <c r="I24" s="34">
        <f>12.08+7.85+20.6+34.58+22.61+26.2+9.04+5.16+17.24+96.37+25.79+3.38+4.52+16.91+3.21+3.38+10.77</f>
        <v>319.69</v>
      </c>
      <c r="K24" s="60">
        <f>9.66+3.67+110.45+3.26+5.7+26.98+20.63+3.03+29.23</f>
        <v>212.60999999999999</v>
      </c>
      <c r="M24" s="11">
        <f t="shared" si="1"/>
        <v>1631.09</v>
      </c>
    </row>
    <row r="25" spans="1:13" ht="15.75" x14ac:dyDescent="0.3">
      <c r="A25" s="41" t="s">
        <v>158</v>
      </c>
      <c r="B25" s="9"/>
      <c r="C25" s="1">
        <f>4.22+4.22+83.33+163+85.01+47.15+119.96+89.07</f>
        <v>595.95999999999992</v>
      </c>
      <c r="E25" s="34">
        <f>91.33+53.42+134.66+9.18+49.35+22.74+150.63</f>
        <v>511.31</v>
      </c>
      <c r="G25" s="34">
        <f>10.15+92.11+5.15+5.23+13.77+10.87+5.05</f>
        <v>142.33000000000001</v>
      </c>
      <c r="I25" s="34">
        <f>5.31+14.84+13.42+4.51+117.51</f>
        <v>155.59</v>
      </c>
      <c r="K25" s="60">
        <f>32.41+99.03+12.08+173.33+4.51+92.06+87.17+156.24+12.55+147.69+93.53+266.4</f>
        <v>1177</v>
      </c>
      <c r="M25" s="11">
        <f t="shared" si="1"/>
        <v>2582.1899999999996</v>
      </c>
    </row>
    <row r="26" spans="1:13" ht="15.75" x14ac:dyDescent="0.3">
      <c r="A26" s="41" t="s">
        <v>172</v>
      </c>
      <c r="B26" s="9"/>
      <c r="C26" s="1">
        <f>18.35+17.69+7.45+38.73+73.99</f>
        <v>156.20999999999998</v>
      </c>
      <c r="E26" s="34">
        <f>26.59+11.06+34.39</f>
        <v>72.039999999999992</v>
      </c>
      <c r="G26" s="34">
        <v>0</v>
      </c>
      <c r="I26" s="34">
        <f>13.75</f>
        <v>13.75</v>
      </c>
      <c r="K26" s="60">
        <f>7.08</f>
        <v>7.08</v>
      </c>
      <c r="M26" s="11">
        <f t="shared" si="1"/>
        <v>249.07999999999998</v>
      </c>
    </row>
    <row r="27" spans="1:13" ht="15.75" x14ac:dyDescent="0.3">
      <c r="A27" s="41" t="s">
        <v>160</v>
      </c>
      <c r="B27" s="9"/>
      <c r="C27" s="1">
        <f>0.55+0.71+0.37+0.66+4.04+0.02+1.55+0.75+1.56+0.33+0.35+0.57+9.52+0.035+0.73+8.22+0.97+0.97+1.46+0.13+0.82+0.81+0.77+0.08+0.74+0.95+1.46+0.81+0.21+0.3+0.04+0.02+0.92+0.69+0.89+0.67+0.44+0.03+0.1+0.8+0.44+0.11</f>
        <v>45.595000000000006</v>
      </c>
      <c r="E27" s="34">
        <f>0.45+0.43+0.22+0.48+0.23+0.16+0.84+0.14+0.71+0.41+0.84+0.27+0.37+0.84+0.51+0.15+0.36+0.46+0.46+0.24+0.89+0.64+0.59+0.38+0.11+0.57+0.72+0.8+0.45+0.38+0.82+0.1+0.82+0.92+0.59+0.31+0.26+0.9+0.9</f>
        <v>19.720000000000002</v>
      </c>
      <c r="G27" s="34">
        <f>0.07+0.18+0.45+0.75+0.68+0.22+0.16+0.75+0.76+0.04+0.11+0.92+0.94+0.76+0.08+0.62+0.47+0.25+0.75+0.67+0.73+0.35+0.5+0.89+0.83+0.94+0.59+0.65+0.94+0.02+0.36+0.22+0.24</f>
        <v>16.889999999999997</v>
      </c>
      <c r="I27" s="34">
        <f>0.76+0.36+0.32+0.12+0.76+0.64+0.13+0.58+0.01+0.66+0.45+0.77+0.31+0.5+0.68+0.46+0.35+0.65+0.48+0.76+0.57+0.13+0.31+0.58+0.03+0.67+0.22+0.95+0.48+0.19+0.42+0.67+0.83+0.35</f>
        <v>16.150000000000002</v>
      </c>
      <c r="K27" s="60">
        <f>0.26+0.37+0.73+0.09+0.13+0.45+0.87+0.17+0.27+0.73+0.05+0.79+0.46+0.93+0.49+0.59+0.11+0.08+0.08+0.51+0.88+0.22+0.67+0.91+0.19+0.76+0.53+0.59+0.64+0.23+0.4+0.73+0.21+0.83+0.19</f>
        <v>16.140000000000004</v>
      </c>
      <c r="M27" s="11">
        <f t="shared" si="1"/>
        <v>114.49500000000002</v>
      </c>
    </row>
    <row r="28" spans="1:13" ht="15.75" x14ac:dyDescent="0.3">
      <c r="A28" s="41" t="s">
        <v>155</v>
      </c>
      <c r="B28" s="9"/>
      <c r="C28" s="1">
        <f>72.77+72.77+72.77+72.77+68.46+182.73+182.73</f>
        <v>725</v>
      </c>
      <c r="E28" s="34">
        <f>68.46+148.21+72.77+182.73+72.77+72.77+72.77+68.46+132.33+72.77+182.73</f>
        <v>1146.77</v>
      </c>
      <c r="G28" s="34">
        <f>72.77+64.46+72.77+79.92+72.77+68.46+68.46+68.46+182.73+148.21</f>
        <v>899.01</v>
      </c>
      <c r="I28" s="34">
        <f>72.77+79.92+182.73+68.46+72.77+182.73+72.77+68.46+72.77</f>
        <v>873.37999999999988</v>
      </c>
      <c r="K28" s="60">
        <f>72.77+72.77+72.77+182.73+68.46+68.46+68.46+148.21+72.77+182.73</f>
        <v>1010.13</v>
      </c>
      <c r="M28" s="11">
        <f t="shared" si="1"/>
        <v>4654.29</v>
      </c>
    </row>
    <row r="29" spans="1:13" ht="15.75" x14ac:dyDescent="0.3">
      <c r="A29" s="41" t="s">
        <v>156</v>
      </c>
      <c r="B29" s="9"/>
      <c r="C29" s="1">
        <f>144.26+144.12+118.35+144.8+144.46+144.74+144.8+144.68+139.95+144.8+144.8+144.8+136.66+144.06+43.44+101.36+142.01+144.01+144+144.34+144.8+131.88+144.6+140.23+142.97+144.8+136.9+144.8+144.8+144.28+144.56+143.92+144.8+97.33+140.88</f>
        <v>4795.9900000000016</v>
      </c>
      <c r="E29" s="34">
        <f>137.46+136.72+144.8+144.8+137.74+236.4+135.07+144.8+236.4+231.37+143.31+235.98+143.81+236.4+144.8+141.71+236.4+228.85+143.23+236.4+228.52+236.4+144.39+144.8+139.92+226.39+143.99+235.15+234.3+143.05+235.28+131.16+218.11+144.8+143.54+236.4+144.8+57.92</f>
        <v>6765.37</v>
      </c>
      <c r="G29" s="34">
        <f>157.6+156.72+157.6+235.94+197.35+157.58+152.35+157.51+15.76+156.04+235.64+139.01+57.19+10.51+236.07+122.26+233.51+235.55+235.77+236.4+135.58+590.95+144.85+152.14+236.18+148.77+157.58+152.21+236.4+156.98+236.4+151.19+157.6</f>
        <v>5943.1900000000005</v>
      </c>
      <c r="I29" s="34">
        <f>157.6+236.4+229.83+590.69+220.09+50.5+157.6+235.91-157.06+68.25+155.78+10.51+220.64+157.6+236.1+145.81+157.42+152.24+157.6+236.4+232.63+234.82+236.03+157.6+145.39+236.4+220.47+146.62+141.55+235.78+157.57</f>
        <v>5564.77</v>
      </c>
      <c r="K29" s="60">
        <f>236.4+157.42+236.4+156.11+234.59+148.19+115.57+42.03+156.35+236.07+148.23+145.89+236.4+236.4+15.76+236.4+236.4+591.6+157.6+236.01+157.29+151.8+157.6+157.6+157.39+197+149.31+156.73+236.4+157.6+52.53+156.69+52.34+236.4+236.4+235.18</f>
        <v>6608.0800000000008</v>
      </c>
      <c r="M29" s="11">
        <f t="shared" si="1"/>
        <v>29677.400000000005</v>
      </c>
    </row>
    <row r="30" spans="1:13" ht="15.75" x14ac:dyDescent="0.3">
      <c r="A30" s="41" t="s">
        <v>199</v>
      </c>
      <c r="B30" s="9"/>
      <c r="C30" s="1">
        <v>0</v>
      </c>
      <c r="E30" s="34">
        <f>177.47</f>
        <v>177.47</v>
      </c>
      <c r="G30" s="34">
        <v>0</v>
      </c>
      <c r="I30" s="34">
        <v>0</v>
      </c>
      <c r="K30" s="60">
        <v>0</v>
      </c>
      <c r="M30" s="11">
        <f t="shared" si="1"/>
        <v>177.47</v>
      </c>
    </row>
    <row r="31" spans="1:13" ht="15.75" x14ac:dyDescent="0.3">
      <c r="A31" s="41" t="s">
        <v>162</v>
      </c>
      <c r="B31" s="9"/>
      <c r="C31" s="1">
        <f>80.77+91.2+29.89+3.54+2.27+18.21+118.39+83.48+97.83+135.36</f>
        <v>660.94</v>
      </c>
      <c r="E31" s="34">
        <f>2.58+97.78+101.12+56.7+20.85+135.36+91.35+63.25+134.09+132.77+33.87+130.59</f>
        <v>1000.3100000000001</v>
      </c>
      <c r="G31" s="34">
        <f>120.48+23.89+132.48+121.2+105.3+60.03+135.36</f>
        <v>698.74</v>
      </c>
      <c r="I31" s="34">
        <f>15.65+132.57+70+96.62+65.2+135.36+102.29+126.6+130.76+26.71</f>
        <v>901.7600000000001</v>
      </c>
      <c r="K31" s="60">
        <f>122.37+112.03+92.01+107.7+0.86+105.7+81.68+124.03+135.36</f>
        <v>881.74000000000012</v>
      </c>
      <c r="M31" s="11">
        <f t="shared" si="1"/>
        <v>4143.49</v>
      </c>
    </row>
    <row r="32" spans="1:13" ht="15.75" x14ac:dyDescent="0.3">
      <c r="A32" s="41" t="s">
        <v>165</v>
      </c>
      <c r="B32" s="9"/>
      <c r="C32" s="1">
        <f>800+400+400+300+1000+300+600</f>
        <v>3800</v>
      </c>
      <c r="E32" s="34">
        <f>50+900+900+400+300+100+1000+300</f>
        <v>3950</v>
      </c>
      <c r="G32" s="34">
        <f>1000+1000+400+146.63+900+400</f>
        <v>3846.63</v>
      </c>
      <c r="I32" s="34">
        <f>900+200+400+222+300+500+500+100+400+800</f>
        <v>4322</v>
      </c>
      <c r="K32" s="60">
        <f>500+300+300+1000+1000+1000+1000</f>
        <v>5100</v>
      </c>
      <c r="M32" s="11">
        <f t="shared" si="1"/>
        <v>21018.63</v>
      </c>
    </row>
    <row r="33" spans="1:13" ht="15.75" x14ac:dyDescent="0.3">
      <c r="A33" s="41" t="s">
        <v>211</v>
      </c>
      <c r="B33" s="9"/>
      <c r="C33" s="1">
        <f>-15.76-47.47-50.58-365.09-115.27-87.5-15.76-133.34</f>
        <v>-830.77</v>
      </c>
      <c r="E33" s="34">
        <f>-119.51-145.57-13.84-21.88-21.9-68.41-358.32-127.5</f>
        <v>-876.92999999999984</v>
      </c>
      <c r="G33" s="34">
        <f>-361.2-42.08-29.56-33.22-13.51-145.57-119.51</f>
        <v>-744.64999999999986</v>
      </c>
      <c r="I33" s="34">
        <f>-66.48-98.23-56.59-38.38</f>
        <v>-259.68</v>
      </c>
      <c r="K33" s="60">
        <f>-44.63-107.73-56.18-19.24-361.2-99.74-145.57-125.8</f>
        <v>-960.08999999999992</v>
      </c>
      <c r="M33" s="11">
        <f t="shared" si="1"/>
        <v>-3672.119999999999</v>
      </c>
    </row>
    <row r="34" spans="1:13" ht="15.75" x14ac:dyDescent="0.3">
      <c r="A34" s="41" t="s">
        <v>212</v>
      </c>
      <c r="B34" s="9"/>
      <c r="C34" s="1">
        <f>-80.22-137.8-0.08-119.4-13.52-128.74-0.14-137.11-0.14-124.82-69.5-0.33-74.66-77.94-0.76-135.94-0.74-246.92-121.88-299.18-304.31-93.18-0.47-132.62-79.43-0.52-0.16-130.45-482.92-118.73-371.03-167.06-69.4-74.57-89.69-348.15-71.66-132.54-246.92-89.96-104.36-119.93-385.92-72.31-77.83</f>
        <v>-5533.94</v>
      </c>
      <c r="E34" s="34">
        <f>-133.17-82.92-107.58-79.58-79.11-130.13-98.63-74.62-374.52-146.17-78.03-128.85-80.47-395.99-90.89-195.06-257-138.89-140.72-136.98-138.03-133.48-74.41-79.78-72.1-132.56-257.03-131.24-332.42-92.64-103.41-158.23-72.49-135.81-513.01-134.19-381.1-119.83</f>
        <v>-6011.07</v>
      </c>
      <c r="G34" s="34">
        <f>-93.67-75.22-148.64-107.6-75.63-73.12-75.83-14.12-269.67-130.51-290.3-83.33-6.74+149.61-62.53-150.5-513.01-72.57-374.52-75.66-395.99-73.05-75.63-133.8-132.27-194.61-76.6-57.76-126.16-275.7-140.72-147.42</f>
        <v>-4373.2700000000004</v>
      </c>
      <c r="I34" s="34">
        <f>-93.67-71.05-140.04-138.36-374.93-128.63-106.25-80.6-151.92-75.88-60.02-104.52-45.37-357.04-75.64-314.21-133.4-148.86-140.66-284.26-85.35-134.42-395.99-156.23-108.6-148.28-141.04-147.03-132.84-80.6-74.1-75.56</f>
        <v>-4705.3500000000013</v>
      </c>
      <c r="K34" s="60">
        <f>-138.07-79.16-147.99-84.83-137.99-308.87-92.89-136.46-147.76-85.02-107.49-141.15-381.1-17.5-138.71-139.82-374.76-81.17-134.16-90.97-90.47-108.6-267.03-84.89-183.14-129.65-75.53-130.13-513.01-262.44-269.41-29.4-133.56-374.52-395.99-150.76</f>
        <v>-6164.4</v>
      </c>
      <c r="M34" s="11">
        <f t="shared" si="1"/>
        <v>-26788.03</v>
      </c>
    </row>
    <row r="35" spans="1:13" ht="15.75" x14ac:dyDescent="0.3">
      <c r="A35" s="41" t="s">
        <v>63</v>
      </c>
      <c r="B35" s="9"/>
      <c r="C35" s="1">
        <f>-368.32-366.76-258.54-668.43-504.73-311.87-1000.25-153.69</f>
        <v>-3632.5899999999997</v>
      </c>
      <c r="E35" s="34">
        <f>-362.15-362.15-368.32-366.76-258.54-504.73-1000.25</f>
        <v>-3222.8999999999996</v>
      </c>
      <c r="G35" s="34">
        <f>-1000.25-366.76-258.54-668.43-635.01-362.15-153.69</f>
        <v>-3444.83</v>
      </c>
      <c r="I35" s="34">
        <f>-368.32-362.15-153.69-504.73-701.85</f>
        <v>-2090.7400000000002</v>
      </c>
      <c r="K35" s="60">
        <f>-668.43-311.87-362.15-1000.25-1000.25</f>
        <v>-3342.95</v>
      </c>
      <c r="M35" s="11">
        <f t="shared" si="1"/>
        <v>-15734.009999999998</v>
      </c>
    </row>
    <row r="36" spans="1:13" ht="15.75" x14ac:dyDescent="0.3">
      <c r="A36" s="41" t="s">
        <v>118</v>
      </c>
      <c r="B36" s="9"/>
      <c r="C36" s="1">
        <f>-499.78-253.43-125.99</f>
        <v>-879.2</v>
      </c>
      <c r="E36" s="34">
        <f>-1.99-403.3</f>
        <v>-405.29</v>
      </c>
      <c r="G36" s="34">
        <f>-51.98-1.99</f>
        <v>-53.97</v>
      </c>
      <c r="I36" s="34">
        <f>-321.23-1.99-1.99-1.99-274.84</f>
        <v>-602.04</v>
      </c>
      <c r="K36" s="60">
        <f>-368.32-190.1-580.16-457.53-479.35</f>
        <v>-2075.46</v>
      </c>
      <c r="M36" s="11">
        <f t="shared" si="1"/>
        <v>-4015.96</v>
      </c>
    </row>
    <row r="37" spans="1:13" ht="15.75" x14ac:dyDescent="0.3">
      <c r="A37" s="41" t="s">
        <v>87</v>
      </c>
      <c r="B37" s="9"/>
      <c r="C37" s="1">
        <f>-24.26-24.26-24.26-22.82-44.11-26.64-60.91-22.82</f>
        <v>-250.07999999999996</v>
      </c>
      <c r="E37" s="34">
        <f>-22.82-24.26-24.26-24.16-24.26-22.82-44.11-24.26-26.64-60.91</f>
        <v>-298.5</v>
      </c>
      <c r="G37" s="34">
        <f>-24.26-24.26-22.82-24.26-26.64-24.26-22.82</f>
        <v>-169.32</v>
      </c>
      <c r="I37" s="34">
        <f>-49.4-24.26-24.26-24.26-22.82-26.64-60.91-44.11-22.82</f>
        <v>-299.47999999999996</v>
      </c>
      <c r="K37" s="60">
        <f>-24.26-24.26-24.26-24.26-26.64-60.91-56.85-24.26-22.82-22.82-22.82-22.82-49.4-24.26-22.82-24.26</f>
        <v>-477.71999999999991</v>
      </c>
      <c r="M37" s="11">
        <f t="shared" si="1"/>
        <v>-1495.1</v>
      </c>
    </row>
    <row r="38" spans="1:13" ht="15.75" x14ac:dyDescent="0.3">
      <c r="A38" s="41" t="s">
        <v>171</v>
      </c>
      <c r="B38" s="9"/>
      <c r="C38" s="1">
        <v>0</v>
      </c>
      <c r="E38" s="34">
        <v>0</v>
      </c>
      <c r="G38" s="34">
        <v>0</v>
      </c>
      <c r="I38" s="34">
        <f>-82.34-26.27-40.43-36.67-40.43-49.3-28.33-44.4-26.27-30-28.33-101.52-26.27-73.52-46.67-30-38.04-71.67-26.67-40.43</f>
        <v>-887.55999999999972</v>
      </c>
      <c r="K38" s="60">
        <f>-38.04-133.33-43.33-101.52-28.33-40-40.43-38.04-26.27-26.27-28.33-40.43-40.43</f>
        <v>-624.74999999999989</v>
      </c>
      <c r="M38" s="11">
        <f t="shared" si="1"/>
        <v>-1512.3099999999995</v>
      </c>
    </row>
    <row r="39" spans="1:13" ht="15.75" x14ac:dyDescent="0.3">
      <c r="A39" s="41" t="s">
        <v>163</v>
      </c>
      <c r="B39" s="9"/>
      <c r="C39" s="1">
        <f>-0.17-0.62-0.75-0.2-0.48-0.55-0.52-0.29-0.31-0.76-0.28-0.19-0.31-0.25-0.4-0.38-0.17-1.18-0.27-0.43-0.05-0.21-0.77-0.01-0.92-0.54-0.66-0.21-0.35-0.16-0.69-0.79-0.4-0.7-0.04-0.44-0.99-0.95-0.51-0.1-0.52-0.35-0.58-0.3-0.49-0.23-0.48-0.6-0.63-0.52-0.4-0.93-0.64-0.31-0.04-0.75-0.38-0.77-0.72-0.96-0.65-0.36-0.62-0.19-0.81-0.34-0.94-0.27-0.75-0.24-0.64-0.91-0.7-0.06-0.61</f>
        <v>-36.69</v>
      </c>
      <c r="E39" s="34">
        <f>0.02-0.04-0.44-0.7-0.37-0.66-0.03-0.44-0.02-0.92-0.71-0.89-0.69-0.8-0.1-0.3-0.67-0.71-0.65-0.46-0.75-0.46-0.33-0.35-0.57-0.35-0.73-0.97-0.37-0.81-0.77-0.08-0.74-1.46-0.52-0.81-0.21-0.38-0.9-0.6-0.05</f>
        <v>-21.79</v>
      </c>
      <c r="G39" s="34">
        <f>-0.38-0.27-0.89-0.64-0.59-0.38-0.11-0.57-0.72-0.8-0.13-0.82-0.1-0.82-0.92-0.59-0.76-0.22-0.14-0.41-0.37-0.84-0.43-0.84-0.23-0.51-0.48-0.9-0.45-0.15-0.84-0.46</f>
        <v>-16.760000000000002</v>
      </c>
      <c r="I39" s="34">
        <f>-0.07-0.36-0.24-0.25-0.18-0.35-0.11-0.89-0.68-0.75-0.02-0.31-0.46-0.24-0.73-0.31-0.94-0.94-0.47-0.65-0.36-0.94</f>
        <v>-10.25</v>
      </c>
      <c r="K39" s="60">
        <f>-0.76-0.83-0.19-0.35-0.13-0.13-0.76-0.67-0.95-0.01-0.5-0.66-0.68-0.26-12-0.48-0.64-0.67-0.83-0.76-0.31-0.22-0.45-0.62-0.77-0.35-0.57-0.45-0.64-0.92-0.4-0.36-0.08-0.22-0.75-0.22-0.16-0.5-0.75-0.04-0.58-0.03</f>
        <v>-31.649999999999995</v>
      </c>
      <c r="M39" s="11">
        <f t="shared" si="1"/>
        <v>-117.13999999999999</v>
      </c>
    </row>
    <row r="40" spans="1:13" ht="15.75" x14ac:dyDescent="0.3">
      <c r="A40" s="41" t="s">
        <v>161</v>
      </c>
      <c r="B40" s="9"/>
      <c r="C40" s="1">
        <f>-2.8-5.73-255.78-2.83-0.54-0.61-24.25-120.89-11.27-16.39-4.64-44.4-2.69-98.15-0.99-22.87-9.48-39.49-3.25-1.9-5.44-393.44-22.99</f>
        <v>-1090.82</v>
      </c>
      <c r="E40" s="34">
        <f>70.98-43.95-38.4-60.5-25.81-8.13-2.03-5.37-23.5-38.75-13.14-40.43-2.22-26.58-51.35-7.27-6.02-19.6-10.29-5.73-80.05-103.08-7.41-49.34</f>
        <v>-597.97000000000014</v>
      </c>
      <c r="G40" s="34">
        <f>-4.41-2.36-200.33-0.11-26.25-0.47-0.57-12.88-3.68-86-8.11-1.68+190.59-16.28-4.38-3.04-195.58-1.61-68.77-38.1-1.08-50.44-0.11-26.97-3.12-32.06</f>
        <v>-597.80000000000018</v>
      </c>
      <c r="I40" s="34">
        <f>-60.89-33.69-2.83-14.15-2.29-104.72-2.82-9.82-2.69-2.74-0.15-2.98+147.37-54.91-81.74-9.21-1.89-7.61-19.34-26.79-0.9</f>
        <v>-294.78999999999996</v>
      </c>
      <c r="K40" s="60">
        <f>-0.9-7.45-9.3-128.32-6.75-1.68-50.54-6.47-1.9-0.08-1.75-29.01-1.07-47.35-4.37-7.5-1.6-6.27</f>
        <v>-312.31</v>
      </c>
      <c r="M40" s="11">
        <f t="shared" si="1"/>
        <v>-2893.69</v>
      </c>
    </row>
    <row r="41" spans="1:13" ht="15.75" x14ac:dyDescent="0.3">
      <c r="A41" s="41" t="s">
        <v>181</v>
      </c>
      <c r="B41" s="9"/>
      <c r="C41" s="1">
        <f>2000</f>
        <v>2000</v>
      </c>
      <c r="E41" s="34">
        <f>2000</f>
        <v>2000</v>
      </c>
      <c r="G41" s="34">
        <v>0</v>
      </c>
      <c r="I41" s="34">
        <v>0</v>
      </c>
      <c r="K41" s="60">
        <v>0</v>
      </c>
      <c r="M41" s="11">
        <f t="shared" si="1"/>
        <v>4000</v>
      </c>
    </row>
    <row r="42" spans="1:13" ht="15.75" x14ac:dyDescent="0.3">
      <c r="A42" s="41" t="s">
        <v>65</v>
      </c>
      <c r="B42" s="9"/>
      <c r="C42" s="1">
        <f>4000+2000+1522.75+3045.5+1750+787.5+606.45+252.69+850+425+66.66+0.12+14.3+25+25+15.22</f>
        <v>15386.19</v>
      </c>
      <c r="E42" s="34">
        <v>0</v>
      </c>
      <c r="G42" s="34">
        <v>0</v>
      </c>
      <c r="I42" s="34">
        <v>0</v>
      </c>
      <c r="K42" s="60">
        <v>0</v>
      </c>
      <c r="M42" s="11">
        <f t="shared" si="1"/>
        <v>15386.19</v>
      </c>
    </row>
    <row r="43" spans="1:13" ht="15.75" x14ac:dyDescent="0.3">
      <c r="A43" s="41" t="s">
        <v>186</v>
      </c>
      <c r="B43" s="9"/>
      <c r="C43" s="1">
        <f>-2193.24-1776.34-898.18-342.98-514.56</f>
        <v>-5725.2999999999993</v>
      </c>
      <c r="E43" s="34">
        <v>0</v>
      </c>
      <c r="G43" s="34">
        <v>0</v>
      </c>
      <c r="I43" s="34">
        <v>0</v>
      </c>
      <c r="K43" s="60">
        <v>0</v>
      </c>
      <c r="M43" s="11">
        <f t="shared" si="1"/>
        <v>-5725.2999999999993</v>
      </c>
    </row>
    <row r="44" spans="1:13" ht="16.5" x14ac:dyDescent="0.3">
      <c r="A44" s="43" t="s">
        <v>185</v>
      </c>
      <c r="B44" s="9"/>
      <c r="C44" s="1">
        <f>-213.22-141.2-1.19-4.56-0.05-18.75-2.04-0.44</f>
        <v>-381.45</v>
      </c>
      <c r="E44" s="34">
        <f>-715.85</f>
        <v>-715.85</v>
      </c>
      <c r="G44" s="34">
        <v>0</v>
      </c>
      <c r="I44" s="34">
        <v>0</v>
      </c>
      <c r="K44" s="60">
        <v>0</v>
      </c>
      <c r="M44" s="11">
        <f t="shared" si="1"/>
        <v>-1097.3</v>
      </c>
    </row>
    <row r="45" spans="1:13" ht="15.75" x14ac:dyDescent="0.3">
      <c r="A45" s="41" t="s">
        <v>193</v>
      </c>
      <c r="B45" s="9"/>
      <c r="C45" s="1">
        <f>-482.92-392.39-178.37-64.93-82.35-6.01-0.13-0.09-3.14-2-1.67-2.29-0.27-0.76-0.41-0.13-0.07-1.3-0.36</f>
        <v>-1219.5899999999999</v>
      </c>
      <c r="E45" s="34">
        <f>-0.54-0.79-470.75-266.7-26.63</f>
        <v>-765.41</v>
      </c>
      <c r="G45" s="34">
        <v>0</v>
      </c>
      <c r="I45" s="34">
        <v>0</v>
      </c>
      <c r="K45" s="60">
        <v>0</v>
      </c>
      <c r="M45" s="11">
        <f t="shared" si="1"/>
        <v>-1985</v>
      </c>
    </row>
    <row r="46" spans="1:13" ht="15.75" x14ac:dyDescent="0.3">
      <c r="A46" s="41" t="s">
        <v>64</v>
      </c>
      <c r="B46" s="9"/>
      <c r="C46" s="1">
        <v>0</v>
      </c>
      <c r="E46" s="34">
        <f>1558.96</f>
        <v>1558.96</v>
      </c>
      <c r="G46" s="34">
        <f>5716.11+1853.65</f>
        <v>7569.76</v>
      </c>
      <c r="I46" s="34">
        <f>1609.34</f>
        <v>1609.34</v>
      </c>
      <c r="K46" s="60">
        <f>3808.4+3162.31+2251.18+712.79</f>
        <v>9934.68</v>
      </c>
      <c r="M46" s="11">
        <f t="shared" si="1"/>
        <v>20672.740000000002</v>
      </c>
    </row>
    <row r="47" spans="1:13" ht="15.75" x14ac:dyDescent="0.3">
      <c r="A47" s="41" t="s">
        <v>151</v>
      </c>
      <c r="B47" s="9"/>
      <c r="C47" s="1">
        <v>0</v>
      </c>
      <c r="E47" s="34">
        <v>0</v>
      </c>
      <c r="G47" s="34">
        <f>5750.23+842.6</f>
        <v>6592.83</v>
      </c>
      <c r="I47" s="34">
        <f>1113.09</f>
        <v>1113.0899999999999</v>
      </c>
      <c r="K47" s="60">
        <f>564.22+1092.37+1173.39+3398.24</f>
        <v>6228.2199999999993</v>
      </c>
      <c r="M47" s="11">
        <f t="shared" si="1"/>
        <v>13934.14</v>
      </c>
    </row>
    <row r="48" spans="1:13" ht="15.75" x14ac:dyDescent="0.3">
      <c r="A48" s="41" t="s">
        <v>170</v>
      </c>
      <c r="B48" s="9"/>
      <c r="C48" s="1">
        <f>1471.03+3092.96+1212.9+121.59+132.51+1955.66+850</f>
        <v>8836.65</v>
      </c>
      <c r="E48" s="34">
        <f>2684.96+1212.9+1891.67+157.87+1479+838.1</f>
        <v>8264.5</v>
      </c>
      <c r="G48" s="34">
        <f>1425.37+1565.74+1553.88+3803.62+1132.04+1361.67+793.33+2180.85</f>
        <v>13816.500000000002</v>
      </c>
      <c r="I48" s="34">
        <f>3615.64+2470.2+2876.61+5721.27+1748.71+80.86+733.33-793.33+203.03+71.67+56.67</f>
        <v>16784.659999999996</v>
      </c>
      <c r="K48" s="60">
        <v>0</v>
      </c>
      <c r="M48" s="11">
        <f t="shared" si="1"/>
        <v>47702.31</v>
      </c>
    </row>
    <row r="49" spans="1:13" ht="15.75" x14ac:dyDescent="0.3">
      <c r="A49" s="41" t="s">
        <v>169</v>
      </c>
      <c r="B49" s="9"/>
      <c r="C49" s="1">
        <f>-1176.46-1955.66-1249.01</f>
        <v>-4381.13</v>
      </c>
      <c r="E49" s="34">
        <f>-1471.03-3092.96-157.87</f>
        <v>-4721.8599999999997</v>
      </c>
      <c r="G49" s="34">
        <f>-1461.36-1765.55-1395.09</f>
        <v>-4622</v>
      </c>
      <c r="I49" s="34">
        <f>-3615.64-126.12-1435.78-1450.28-253.57-1289.87</f>
        <v>-8171.2599999999993</v>
      </c>
      <c r="K49" s="60">
        <f>-3550.05-1748.71-5721.27-1958.54-104.38</f>
        <v>-13082.949999999999</v>
      </c>
      <c r="M49" s="11">
        <f t="shared" si="1"/>
        <v>-34979.199999999997</v>
      </c>
    </row>
    <row r="50" spans="1:13" x14ac:dyDescent="0.25">
      <c r="A50" s="67" t="s">
        <v>229</v>
      </c>
      <c r="B50" s="9"/>
      <c r="C50" s="1">
        <f>319.69+144.8+64.27+750+144.8+325+120.84+72.4+0.76+0.58+99.69+81.5+72.4+0.66+210.65+166.28+144.8+0.7+7.43+103.89+120.67+0.75+3.79+52.59+54.3+0.82+46.47+86.39+72.4+0.2+18.92+41.2+30.17+0.02+0.44+72.4+8.01+9.15+0.51+144.8+16.01+18.59+1.39+2.76+2.62+2.85+0.35+537.27+144.8+16.01+18.59+144.8+343.13+83.33+0.45+25+3.35+9.44+5.12+1.46+0.86+16.21+3.29</f>
        <v>4992.8200000000015</v>
      </c>
      <c r="E50" s="34">
        <f>4.49+1.55+503.62+144.8+97.18+55.98+1069.89+747.57+52.3+930.8+606.14+423.62+28.72+527.99</f>
        <v>5194.6500000000005</v>
      </c>
      <c r="G50" s="34">
        <f>96.05+6.39+220.64+485.04+577.81+91.71+26.71+253.33+8.1+0.13+2.74+401.47+135.15+85.37+190.56+11.94+0.92+4.29</f>
        <v>2598.35</v>
      </c>
      <c r="I50" s="34">
        <f>1139.69+236.4+32.11+680.37+6.86+0.46+15.76+34.65+388.89+14.49+105.07+413.93+19.44+0.72+5.25+36.67+20.69+194.44+60.42+147.09+398.43+10.39+6.89+15.76+78.69+304.11+0.07+4.28+1.45+0.14+0.42+13.33+1.41+4.83+30.41+133.34+14.06+48.26+716.67+28.68+9.65+6.1+13.61+0.86+0.06+0.3</f>
        <v>5395.6</v>
      </c>
      <c r="K50" s="60">
        <f>56.67+13.89+4.32+10.51+28.46+1101.68+220.64+96.52+145.42+2842.47+1141.07+51.35+12.42+236.4+480.41+2666.67+411.11+105.07+1060.95+216.24+530.47+1333.33+52.53+205.56+25.5+43.33+5.25+0.14+27.78+510.04+105.07+2.82+555.55+866.67+0.94</f>
        <v>15167.25</v>
      </c>
      <c r="M50" s="11">
        <f t="shared" si="1"/>
        <v>33348.67</v>
      </c>
    </row>
    <row r="51" spans="1:13" ht="16.5" x14ac:dyDescent="0.3">
      <c r="A51" s="43" t="s">
        <v>168</v>
      </c>
      <c r="B51" s="9"/>
      <c r="C51" s="1">
        <v>0</v>
      </c>
      <c r="E51" s="34">
        <v>0</v>
      </c>
      <c r="G51" s="34">
        <f>-26.9-0.82</f>
        <v>-27.72</v>
      </c>
      <c r="I51" s="34">
        <f>-309.93-22.93-1.42</f>
        <v>-334.28000000000003</v>
      </c>
      <c r="K51" s="60">
        <f>-321.02-172.94-177.61</f>
        <v>-671.56999999999994</v>
      </c>
      <c r="M51" s="11">
        <f t="shared" si="1"/>
        <v>-1033.57</v>
      </c>
    </row>
    <row r="52" spans="1:13" ht="15.75" x14ac:dyDescent="0.3">
      <c r="A52" s="41" t="s">
        <v>66</v>
      </c>
      <c r="B52" s="9"/>
      <c r="C52" s="1">
        <f>-102.3-193.41-123.52</f>
        <v>-419.22999999999996</v>
      </c>
      <c r="E52" s="34">
        <f>-181.3</f>
        <v>-181.3</v>
      </c>
      <c r="G52" s="34">
        <f>-144.52-0.85-174.61-1.78-254.23-31.26</f>
        <v>-607.25</v>
      </c>
      <c r="I52" s="34">
        <f>-501.46-149.01-72.97-12.47-143.43-5.68-0.42-34.2-13.38</f>
        <v>-933.0200000000001</v>
      </c>
      <c r="K52" s="60">
        <f>-13.43-10.25-103.6-12.49-478.81-466.81-183.61-70.49-10.33</f>
        <v>-1349.82</v>
      </c>
      <c r="M52" s="11">
        <f t="shared" si="1"/>
        <v>-3490.62</v>
      </c>
    </row>
    <row r="53" spans="1:13" ht="15.75" x14ac:dyDescent="0.3">
      <c r="A53" s="41" t="s">
        <v>198</v>
      </c>
      <c r="B53" s="9"/>
      <c r="C53" s="1">
        <v>0</v>
      </c>
      <c r="E53" s="34">
        <f>-2000</f>
        <v>-2000</v>
      </c>
      <c r="G53" s="34">
        <v>0</v>
      </c>
      <c r="I53" s="34">
        <v>0</v>
      </c>
      <c r="K53" s="60">
        <v>0</v>
      </c>
      <c r="M53" s="11">
        <f t="shared" si="1"/>
        <v>-2000</v>
      </c>
    </row>
    <row r="54" spans="1:13" s="32" customFormat="1" ht="15.75" x14ac:dyDescent="0.3">
      <c r="A54" s="77" t="s">
        <v>32</v>
      </c>
      <c r="C54" s="81">
        <f>SUM(C18:C53)</f>
        <v>66033.065000000017</v>
      </c>
      <c r="E54" s="81">
        <f>SUM(E18:E53)</f>
        <v>62022.750000000007</v>
      </c>
      <c r="G54" s="81">
        <f>SUM(G18:G53)</f>
        <v>70786.740000000005</v>
      </c>
      <c r="I54" s="81">
        <f>SUM(I18:I53)</f>
        <v>56886.269999999982</v>
      </c>
      <c r="K54" s="81">
        <f>SUM(K18:K53)</f>
        <v>66308.850000000006</v>
      </c>
      <c r="M54" s="79">
        <f>SUM(C54+E54+G54+I54+K54)</f>
        <v>322037.67500000005</v>
      </c>
    </row>
    <row r="55" spans="1:13" ht="15.75" x14ac:dyDescent="0.3">
      <c r="A55" s="45" t="s">
        <v>174</v>
      </c>
      <c r="B55" s="9"/>
      <c r="C55" s="1"/>
      <c r="E55" s="34"/>
      <c r="G55" s="34"/>
      <c r="I55" s="34"/>
      <c r="K55" s="60"/>
      <c r="M55" s="76"/>
    </row>
    <row r="56" spans="1:13" ht="15.75" x14ac:dyDescent="0.3">
      <c r="A56" s="42" t="s">
        <v>175</v>
      </c>
      <c r="B56" s="9"/>
      <c r="C56" s="1">
        <f>2400</f>
        <v>2400</v>
      </c>
      <c r="E56" s="34">
        <f>1000+2400</f>
        <v>3400</v>
      </c>
      <c r="G56" s="34">
        <v>2400</v>
      </c>
      <c r="I56" s="34">
        <f>2400</f>
        <v>2400</v>
      </c>
      <c r="K56" s="60">
        <f>2400</f>
        <v>2400</v>
      </c>
      <c r="M56" s="11">
        <f>SUM(C56+E56+G56+I56+K56)</f>
        <v>13000</v>
      </c>
    </row>
    <row r="57" spans="1:13" ht="15.75" x14ac:dyDescent="0.3">
      <c r="A57" s="42" t="s">
        <v>73</v>
      </c>
      <c r="B57" s="9"/>
      <c r="C57" s="1">
        <f>724</f>
        <v>724</v>
      </c>
      <c r="E57" s="34">
        <f>788</f>
        <v>788</v>
      </c>
      <c r="G57" s="34">
        <f>788</f>
        <v>788</v>
      </c>
      <c r="I57" s="34">
        <f>788</f>
        <v>788</v>
      </c>
      <c r="K57" s="60">
        <f>788</f>
        <v>788</v>
      </c>
      <c r="M57" s="11">
        <f>SUM(C57+E57+G57+I57+K57)</f>
        <v>3876</v>
      </c>
    </row>
    <row r="58" spans="1:13" ht="15.75" x14ac:dyDescent="0.3">
      <c r="A58" s="42"/>
      <c r="B58" s="9"/>
      <c r="C58" s="1"/>
      <c r="E58" s="34"/>
      <c r="G58" s="34"/>
      <c r="I58" s="34"/>
      <c r="K58" s="60"/>
      <c r="M58" s="76"/>
    </row>
    <row r="59" spans="1:13" s="32" customFormat="1" ht="15.75" x14ac:dyDescent="0.3">
      <c r="A59" s="77" t="s">
        <v>32</v>
      </c>
      <c r="C59" s="81">
        <f>SUM(C56:C58)</f>
        <v>3124</v>
      </c>
      <c r="E59" s="81">
        <f>SUM(E56:E58)</f>
        <v>4188</v>
      </c>
      <c r="G59" s="81">
        <f>SUM(G56:G58)</f>
        <v>3188</v>
      </c>
      <c r="I59" s="81">
        <f>SUM(I56:I58)</f>
        <v>3188</v>
      </c>
      <c r="K59" s="81">
        <f>SUM(K56:K57)</f>
        <v>3188</v>
      </c>
      <c r="M59" s="79">
        <f>SUM(M56:M58)</f>
        <v>16876</v>
      </c>
    </row>
    <row r="60" spans="1:13" s="32" customFormat="1" ht="18" x14ac:dyDescent="0.35">
      <c r="A60" s="89" t="s">
        <v>213</v>
      </c>
      <c r="B60" s="9"/>
      <c r="C60" s="69"/>
      <c r="E60" s="69"/>
      <c r="G60" s="69"/>
      <c r="I60" s="69"/>
      <c r="K60" s="69"/>
      <c r="M60" s="76"/>
    </row>
    <row r="61" spans="1:13" s="32" customFormat="1" ht="16.5" x14ac:dyDescent="0.3">
      <c r="A61" s="91" t="s">
        <v>214</v>
      </c>
      <c r="B61" s="9"/>
      <c r="C61" s="60">
        <f>7428.99</f>
        <v>7428.99</v>
      </c>
      <c r="D61" s="61"/>
      <c r="E61" s="1">
        <f>7766.99+7600.76</f>
        <v>15367.75</v>
      </c>
      <c r="F61" s="61"/>
      <c r="G61" s="60">
        <v>0</v>
      </c>
      <c r="H61" s="61"/>
      <c r="I61" s="60"/>
      <c r="J61" s="61"/>
      <c r="K61" s="60">
        <f>6051.96</f>
        <v>6051.96</v>
      </c>
      <c r="M61" s="76">
        <f>SUM(C61+E61+G61+I61+K61)</f>
        <v>28848.699999999997</v>
      </c>
    </row>
    <row r="62" spans="1:13" s="32" customFormat="1" ht="16.5" x14ac:dyDescent="0.3">
      <c r="A62" s="91" t="s">
        <v>215</v>
      </c>
      <c r="B62" s="9"/>
      <c r="C62" s="60">
        <f>6005.62</f>
        <v>6005.62</v>
      </c>
      <c r="D62" s="61"/>
      <c r="E62" s="60">
        <f>5901.09+8616.91</f>
        <v>14518</v>
      </c>
      <c r="F62" s="61"/>
      <c r="G62" s="60">
        <v>0</v>
      </c>
      <c r="H62" s="61"/>
      <c r="I62" s="60">
        <f>8793.35+6116.57+5851.22</f>
        <v>20761.14</v>
      </c>
      <c r="J62" s="61"/>
      <c r="K62" s="60">
        <f>6177.85</f>
        <v>6177.85</v>
      </c>
      <c r="M62" s="76">
        <f t="shared" ref="M62:M66" si="2">SUM(C62+E62+G62+I62+K62)</f>
        <v>47462.609999999993</v>
      </c>
    </row>
    <row r="63" spans="1:13" s="32" customFormat="1" ht="16.5" x14ac:dyDescent="0.3">
      <c r="A63" s="91" t="s">
        <v>216</v>
      </c>
      <c r="B63" s="9"/>
      <c r="C63" s="60">
        <v>0</v>
      </c>
      <c r="D63" s="61"/>
      <c r="E63" s="60">
        <f>5678.94+5702.34</f>
        <v>11381.279999999999</v>
      </c>
      <c r="F63" s="61"/>
      <c r="G63" s="60">
        <v>0</v>
      </c>
      <c r="H63" s="61"/>
      <c r="I63" s="60">
        <f>927.87+5059.06+6011.62</f>
        <v>11998.55</v>
      </c>
      <c r="J63" s="61"/>
      <c r="K63" s="60">
        <f>10697.88</f>
        <v>10697.88</v>
      </c>
      <c r="M63" s="76">
        <f t="shared" si="2"/>
        <v>34077.71</v>
      </c>
    </row>
    <row r="64" spans="1:13" s="32" customFormat="1" ht="16.5" x14ac:dyDescent="0.3">
      <c r="A64" s="91" t="s">
        <v>217</v>
      </c>
      <c r="B64" s="9"/>
      <c r="C64" s="60">
        <v>0</v>
      </c>
      <c r="D64" s="61"/>
      <c r="E64" s="60">
        <f>575.39+535.85</f>
        <v>1111.24</v>
      </c>
      <c r="F64" s="61"/>
      <c r="G64" s="60">
        <v>0</v>
      </c>
      <c r="H64" s="61"/>
      <c r="I64" s="60">
        <f>680.59+693.24+305.92+161.8</f>
        <v>1841.55</v>
      </c>
      <c r="J64" s="61"/>
      <c r="K64" s="60">
        <f>731.81</f>
        <v>731.81</v>
      </c>
      <c r="M64" s="76">
        <f t="shared" si="2"/>
        <v>3684.6</v>
      </c>
    </row>
    <row r="65" spans="1:13" s="32" customFormat="1" ht="16.5" x14ac:dyDescent="0.3">
      <c r="A65" s="91" t="s">
        <v>218</v>
      </c>
      <c r="B65" s="9"/>
      <c r="C65" s="60">
        <v>0</v>
      </c>
      <c r="D65" s="61"/>
      <c r="E65" s="60">
        <f>1084.35+1089.08</f>
        <v>2173.4299999999998</v>
      </c>
      <c r="F65" s="61"/>
      <c r="G65" s="60">
        <v>0</v>
      </c>
      <c r="H65" s="61"/>
      <c r="I65" s="60">
        <f>1053.44+1175.03+2770.74+1497.1</f>
        <v>6496.3099999999995</v>
      </c>
      <c r="J65" s="61"/>
      <c r="K65" s="60">
        <f>1316.74</f>
        <v>1316.74</v>
      </c>
      <c r="M65" s="76">
        <f t="shared" si="2"/>
        <v>9986.48</v>
      </c>
    </row>
    <row r="66" spans="1:13" s="32" customFormat="1" ht="16.5" x14ac:dyDescent="0.3">
      <c r="A66" s="91" t="s">
        <v>219</v>
      </c>
      <c r="B66" s="9"/>
      <c r="C66" s="60">
        <v>0</v>
      </c>
      <c r="D66" s="61"/>
      <c r="E66" s="60">
        <f>834.19+891.21</f>
        <v>1725.4</v>
      </c>
      <c r="F66" s="61"/>
      <c r="G66" s="60">
        <v>0</v>
      </c>
      <c r="H66" s="61"/>
      <c r="I66" s="60">
        <f>1579.51+812.18+854.57+824.01</f>
        <v>4070.2700000000004</v>
      </c>
      <c r="J66" s="61"/>
      <c r="K66" s="60">
        <f>893.49</f>
        <v>893.49</v>
      </c>
      <c r="M66" s="76">
        <f t="shared" si="2"/>
        <v>6689.16</v>
      </c>
    </row>
    <row r="67" spans="1:13" s="32" customFormat="1" ht="18" x14ac:dyDescent="0.35">
      <c r="A67" s="92" t="s">
        <v>32</v>
      </c>
      <c r="B67" s="3"/>
      <c r="C67" s="81">
        <f>SUM(C61:C66)</f>
        <v>13434.61</v>
      </c>
      <c r="E67" s="81">
        <f>SUM(E61:E66)</f>
        <v>46277.1</v>
      </c>
      <c r="G67" s="81">
        <f>SUM(G61:G66)</f>
        <v>0</v>
      </c>
      <c r="I67" s="81">
        <f>SUM(I61:I66)</f>
        <v>45167.819999999992</v>
      </c>
      <c r="K67" s="81">
        <f>SUM(K61:K66)</f>
        <v>25869.730000000007</v>
      </c>
      <c r="M67" s="79">
        <f>SUM(C67+E67+G67+I67+K67)</f>
        <v>130749.26000000001</v>
      </c>
    </row>
    <row r="68" spans="1:13" s="32" customFormat="1" ht="16.5" x14ac:dyDescent="0.3">
      <c r="A68" s="45" t="s">
        <v>51</v>
      </c>
      <c r="B68" s="9"/>
      <c r="C68" s="69"/>
      <c r="E68" s="69"/>
      <c r="G68" s="69"/>
      <c r="I68" s="69"/>
      <c r="K68" s="69"/>
      <c r="M68" s="93">
        <v>2</v>
      </c>
    </row>
    <row r="69" spans="1:13" s="32" customFormat="1" ht="15.75" x14ac:dyDescent="0.3">
      <c r="A69" s="41" t="s">
        <v>220</v>
      </c>
      <c r="B69" s="9"/>
      <c r="C69" s="1">
        <f>547.38+552.21</f>
        <v>1099.5900000000001</v>
      </c>
      <c r="D69"/>
      <c r="E69" s="1">
        <v>556.94000000000005</v>
      </c>
      <c r="F69"/>
      <c r="G69" s="1">
        <f>561.06</f>
        <v>561.05999999999995</v>
      </c>
      <c r="H69"/>
      <c r="I69" s="1">
        <f>566.3</f>
        <v>566.29999999999995</v>
      </c>
      <c r="J69"/>
      <c r="K69" s="1">
        <f>571.08</f>
        <v>571.08000000000004</v>
      </c>
      <c r="L69"/>
      <c r="M69" s="11">
        <f t="shared" ref="M69:M71" si="3">SUM(C69+E69+G69+I69+K69)</f>
        <v>3354.9700000000003</v>
      </c>
    </row>
    <row r="70" spans="1:13" s="32" customFormat="1" ht="15.75" x14ac:dyDescent="0.3">
      <c r="A70" s="41" t="s">
        <v>221</v>
      </c>
      <c r="B70" s="9"/>
      <c r="C70" s="1">
        <v>0</v>
      </c>
      <c r="D70"/>
      <c r="E70" s="1">
        <f>602.49+602.49</f>
        <v>1204.98</v>
      </c>
      <c r="F70"/>
      <c r="G70" s="1">
        <f>607.02</f>
        <v>607.02</v>
      </c>
      <c r="H70"/>
      <c r="I70" s="1">
        <f>612.76</f>
        <v>612.76</v>
      </c>
      <c r="J70"/>
      <c r="K70" s="1">
        <f>618.01</f>
        <v>618.01</v>
      </c>
      <c r="L70"/>
      <c r="M70" s="11">
        <f t="shared" si="3"/>
        <v>3042.7700000000004</v>
      </c>
    </row>
    <row r="71" spans="1:13" s="32" customFormat="1" ht="15.75" x14ac:dyDescent="0.3">
      <c r="A71" s="41" t="s">
        <v>222</v>
      </c>
      <c r="B71" s="9"/>
      <c r="C71" s="1">
        <v>0</v>
      </c>
      <c r="D71"/>
      <c r="E71" s="1">
        <v>0</v>
      </c>
      <c r="F71"/>
      <c r="G71" s="1">
        <v>0</v>
      </c>
      <c r="H71"/>
      <c r="I71" s="1">
        <f>501.17</f>
        <v>501.17</v>
      </c>
      <c r="J71"/>
      <c r="K71" s="1">
        <f>506.18</f>
        <v>506.18</v>
      </c>
      <c r="L71"/>
      <c r="M71" s="11">
        <f t="shared" si="3"/>
        <v>1007.35</v>
      </c>
    </row>
    <row r="72" spans="1:13" s="32" customFormat="1" ht="15.75" x14ac:dyDescent="0.3">
      <c r="A72" s="46" t="s">
        <v>32</v>
      </c>
      <c r="B72" s="33"/>
      <c r="C72" s="81">
        <f>SUM(C69:C71)</f>
        <v>1099.5900000000001</v>
      </c>
      <c r="E72" s="81">
        <f>SUM(E69:E71)</f>
        <v>1761.92</v>
      </c>
      <c r="G72" s="81">
        <f>SUM(G69:G71)</f>
        <v>1168.08</v>
      </c>
      <c r="I72" s="81">
        <f>SUM(I69:I71)</f>
        <v>1680.23</v>
      </c>
      <c r="K72" s="81">
        <f>SUM(K69:K71)</f>
        <v>1695.2700000000002</v>
      </c>
      <c r="M72" s="79">
        <f>SUM(C72+E72+G72+I72+K72)</f>
        <v>7405.09</v>
      </c>
    </row>
    <row r="73" spans="1:13" ht="15.75" x14ac:dyDescent="0.3">
      <c r="A73" s="45" t="s">
        <v>223</v>
      </c>
      <c r="B73" s="9"/>
      <c r="C73" s="1"/>
      <c r="E73" s="34"/>
      <c r="G73" s="34"/>
      <c r="I73" s="34"/>
      <c r="K73" s="60"/>
      <c r="M73" s="76"/>
    </row>
    <row r="74" spans="1:13" ht="15.75" x14ac:dyDescent="0.3">
      <c r="A74" s="41" t="s">
        <v>224</v>
      </c>
      <c r="B74" s="9"/>
      <c r="C74" s="60">
        <f>5924.94</f>
        <v>5924.94</v>
      </c>
      <c r="E74" s="34">
        <v>0</v>
      </c>
      <c r="G74" s="34">
        <v>0</v>
      </c>
      <c r="I74" s="34">
        <f>6304.81</f>
        <v>6304.81</v>
      </c>
      <c r="K74" s="60">
        <f>6174.81</f>
        <v>6174.81</v>
      </c>
      <c r="M74" s="11">
        <f>SUM(C74+E74+G74+I74+K74)</f>
        <v>18404.560000000001</v>
      </c>
    </row>
    <row r="75" spans="1:13" ht="15.75" x14ac:dyDescent="0.3">
      <c r="A75" s="46" t="s">
        <v>32</v>
      </c>
      <c r="B75" s="32"/>
      <c r="C75" s="81">
        <f>SUM(C74)</f>
        <v>5924.94</v>
      </c>
      <c r="D75" s="32"/>
      <c r="E75" s="81">
        <f>SUM(E74)</f>
        <v>0</v>
      </c>
      <c r="F75" s="32"/>
      <c r="G75" s="81">
        <f>SUM(G74)</f>
        <v>0</v>
      </c>
      <c r="H75" s="32"/>
      <c r="I75" s="81">
        <f>SUM(I74)</f>
        <v>6304.81</v>
      </c>
      <c r="J75" s="32"/>
      <c r="K75" s="81">
        <f>SUM(K74)</f>
        <v>6174.81</v>
      </c>
      <c r="L75" s="32"/>
      <c r="M75" s="79">
        <f>SUM(C75+E75+G75+I75+K75)</f>
        <v>18404.560000000001</v>
      </c>
    </row>
    <row r="76" spans="1:13" ht="15.75" x14ac:dyDescent="0.3">
      <c r="A76" s="45" t="s">
        <v>68</v>
      </c>
      <c r="B76" s="9"/>
      <c r="C76" s="1"/>
      <c r="E76" s="34"/>
      <c r="G76" s="34"/>
      <c r="I76" s="34"/>
      <c r="K76" s="60"/>
      <c r="M76" s="76"/>
    </row>
    <row r="77" spans="1:13" ht="15.75" x14ac:dyDescent="0.3">
      <c r="A77" s="41" t="s">
        <v>112</v>
      </c>
      <c r="B77" s="9"/>
      <c r="C77" s="1">
        <f>10147+7480+16530</f>
        <v>34157</v>
      </c>
      <c r="E77" s="34">
        <f>1870+8569.99+8228+18810</f>
        <v>37477.99</v>
      </c>
      <c r="G77" s="34">
        <f>3038.75+15801.5+14679.5+18925.49+2337.5</f>
        <v>54782.740000000005</v>
      </c>
      <c r="I77" s="34">
        <f>5069.5+3325</f>
        <v>8394.5</v>
      </c>
      <c r="K77" s="60">
        <f>19391.13+23281.5+29452.5</f>
        <v>72125.13</v>
      </c>
      <c r="M77" s="11">
        <f>SUM(C77+E77+G77+I77+K77)</f>
        <v>206937.36</v>
      </c>
    </row>
    <row r="78" spans="1:13" ht="15.75" x14ac:dyDescent="0.3">
      <c r="A78" s="41" t="s">
        <v>69</v>
      </c>
      <c r="B78" s="9"/>
      <c r="C78" s="1">
        <f>1400+1776.5+6030.75</f>
        <v>9207.25</v>
      </c>
      <c r="E78" s="34">
        <f>5240.94+1542.75+2807.02+6451.5+3038.75+981.75+1187.5</f>
        <v>21250.21</v>
      </c>
      <c r="G78" s="34">
        <f>1447.95+4095.28</f>
        <v>5543.2300000000005</v>
      </c>
      <c r="I78" s="34">
        <f>137.9+1418.55+3440.47+4385.15+7012.5+1080.8</f>
        <v>17475.37</v>
      </c>
      <c r="K78" s="60">
        <f>5236+1702.75+1958.95</f>
        <v>8897.7000000000007</v>
      </c>
      <c r="M78" s="11">
        <f t="shared" ref="M78:M81" si="4">SUM(C78+E78+G78+I78+K78)</f>
        <v>62373.759999999995</v>
      </c>
    </row>
    <row r="79" spans="1:13" ht="15.75" x14ac:dyDescent="0.3">
      <c r="A79" s="41" t="s">
        <v>150</v>
      </c>
      <c r="B79" s="9"/>
      <c r="C79" s="1">
        <v>0</v>
      </c>
      <c r="E79" s="34">
        <v>0</v>
      </c>
      <c r="G79" s="34"/>
      <c r="I79" s="34">
        <v>0</v>
      </c>
      <c r="K79" s="60"/>
      <c r="M79" s="11">
        <f t="shared" si="4"/>
        <v>0</v>
      </c>
    </row>
    <row r="80" spans="1:13" ht="15.75" x14ac:dyDescent="0.3">
      <c r="A80" s="41" t="s">
        <v>70</v>
      </c>
      <c r="B80" s="9"/>
      <c r="C80" s="1">
        <v>0</v>
      </c>
      <c r="E80" s="34"/>
      <c r="G80" s="34"/>
      <c r="I80" s="34"/>
      <c r="K80" s="60"/>
      <c r="M80" s="11">
        <f t="shared" si="4"/>
        <v>0</v>
      </c>
    </row>
    <row r="81" spans="1:13" ht="15.75" x14ac:dyDescent="0.3">
      <c r="A81" s="41" t="s">
        <v>71</v>
      </c>
      <c r="B81" s="9"/>
      <c r="C81" s="1">
        <v>0</v>
      </c>
      <c r="E81" s="34"/>
      <c r="G81" s="34"/>
      <c r="I81" s="34"/>
      <c r="K81" s="60"/>
      <c r="M81" s="11">
        <f t="shared" si="4"/>
        <v>0</v>
      </c>
    </row>
    <row r="82" spans="1:13" ht="15.75" x14ac:dyDescent="0.3">
      <c r="A82" s="46" t="s">
        <v>32</v>
      </c>
      <c r="B82" s="32"/>
      <c r="C82" s="81">
        <f>SUM(C77:C81)</f>
        <v>43364.25</v>
      </c>
      <c r="D82" s="32"/>
      <c r="E82" s="81">
        <f>SUM(E77:E81)</f>
        <v>58728.2</v>
      </c>
      <c r="F82" s="32"/>
      <c r="G82" s="81">
        <f>SUM(G77:G81)</f>
        <v>60325.970000000008</v>
      </c>
      <c r="H82" s="32"/>
      <c r="I82" s="81">
        <f>SUM(I77:I81)</f>
        <v>25869.87</v>
      </c>
      <c r="J82" s="32"/>
      <c r="K82" s="81">
        <f>SUM(K77:K81)</f>
        <v>81022.83</v>
      </c>
      <c r="L82" s="32"/>
      <c r="M82" s="79">
        <f>SUM(C82+E82+G82+I82+K82)</f>
        <v>269311.12</v>
      </c>
    </row>
    <row r="83" spans="1:13" ht="15.75" x14ac:dyDescent="0.3">
      <c r="A83" s="47" t="s">
        <v>113</v>
      </c>
      <c r="B83" s="9"/>
      <c r="C83" s="1"/>
      <c r="E83" s="34"/>
      <c r="G83" s="34"/>
      <c r="I83" s="34"/>
      <c r="K83" s="60"/>
      <c r="M83" s="76"/>
    </row>
    <row r="84" spans="1:13" ht="15.75" x14ac:dyDescent="0.3">
      <c r="A84" s="41" t="s">
        <v>114</v>
      </c>
      <c r="B84" s="9"/>
      <c r="C84" s="1">
        <v>0</v>
      </c>
      <c r="E84" s="34">
        <f>507.35</f>
        <v>507.35</v>
      </c>
      <c r="G84" s="34">
        <v>0</v>
      </c>
      <c r="I84" s="34">
        <f>523.8</f>
        <v>523.79999999999995</v>
      </c>
      <c r="K84" s="60">
        <v>0</v>
      </c>
      <c r="M84" s="11">
        <f>SUM(C84+E84+G84+I84+K84)</f>
        <v>1031.1500000000001</v>
      </c>
    </row>
    <row r="85" spans="1:13" ht="15.75" x14ac:dyDescent="0.3">
      <c r="A85" s="41" t="s">
        <v>116</v>
      </c>
      <c r="B85" s="9"/>
      <c r="C85" s="1">
        <v>0</v>
      </c>
      <c r="E85" s="34">
        <v>0</v>
      </c>
      <c r="G85" s="34">
        <f>1715</f>
        <v>1715</v>
      </c>
      <c r="I85" s="34">
        <f>3430</f>
        <v>3430</v>
      </c>
      <c r="K85" s="60">
        <v>0</v>
      </c>
      <c r="M85" s="11">
        <f t="shared" ref="M85:M88" si="5">SUM(C85+E85+G85+I85+K85)</f>
        <v>5145</v>
      </c>
    </row>
    <row r="86" spans="1:13" ht="15.75" x14ac:dyDescent="0.3">
      <c r="A86" s="41" t="s">
        <v>117</v>
      </c>
      <c r="B86" s="9"/>
      <c r="C86" s="1">
        <v>0</v>
      </c>
      <c r="E86" s="34">
        <v>0</v>
      </c>
      <c r="G86" s="34">
        <f>1701.17</f>
        <v>1701.17</v>
      </c>
      <c r="I86" s="34">
        <f>3402.34</f>
        <v>3402.34</v>
      </c>
      <c r="K86" s="60">
        <v>0</v>
      </c>
      <c r="M86" s="11">
        <f t="shared" si="5"/>
        <v>5103.51</v>
      </c>
    </row>
    <row r="87" spans="1:13" ht="15.75" x14ac:dyDescent="0.3">
      <c r="A87" s="41" t="s">
        <v>115</v>
      </c>
      <c r="B87" s="9"/>
      <c r="C87" s="1">
        <f>1079.4+350</f>
        <v>1429.4</v>
      </c>
      <c r="E87" s="34">
        <f>150+350</f>
        <v>500</v>
      </c>
      <c r="G87" s="34">
        <f>515</f>
        <v>515</v>
      </c>
      <c r="I87" s="34">
        <f>350+330</f>
        <v>680</v>
      </c>
      <c r="K87" s="60">
        <f>180+350</f>
        <v>530</v>
      </c>
      <c r="M87" s="11">
        <f t="shared" si="5"/>
        <v>3654.4</v>
      </c>
    </row>
    <row r="88" spans="1:13" ht="15.75" x14ac:dyDescent="0.3">
      <c r="A88" s="41" t="s">
        <v>197</v>
      </c>
      <c r="B88" s="9"/>
      <c r="C88" s="1">
        <v>0</v>
      </c>
      <c r="E88" s="34">
        <f>700</f>
        <v>700</v>
      </c>
      <c r="G88" s="34">
        <v>0</v>
      </c>
      <c r="I88" s="34">
        <v>0</v>
      </c>
      <c r="K88" s="60">
        <v>0</v>
      </c>
      <c r="M88" s="11">
        <f t="shared" si="5"/>
        <v>700</v>
      </c>
    </row>
    <row r="89" spans="1:13" ht="15.75" x14ac:dyDescent="0.3">
      <c r="A89" s="46" t="s">
        <v>32</v>
      </c>
      <c r="B89" s="32"/>
      <c r="C89" s="81">
        <f>SUM(C84:C88)</f>
        <v>1429.4</v>
      </c>
      <c r="D89" s="32"/>
      <c r="E89" s="81">
        <f>SUM(E84:E88)</f>
        <v>1707.35</v>
      </c>
      <c r="F89" s="32"/>
      <c r="G89" s="81">
        <f>SUM(G84:G88)</f>
        <v>3931.17</v>
      </c>
      <c r="H89" s="32"/>
      <c r="I89" s="81">
        <f>SUM(I84:I88)</f>
        <v>8036.14</v>
      </c>
      <c r="J89" s="32"/>
      <c r="K89" s="81">
        <f>SUM(K84:K88)</f>
        <v>530</v>
      </c>
      <c r="L89" s="32"/>
      <c r="M89" s="79">
        <f>SUM(C89+E89+G89+I89+K89)</f>
        <v>15634.060000000001</v>
      </c>
    </row>
    <row r="90" spans="1:13" ht="15.75" x14ac:dyDescent="0.3">
      <c r="A90" s="45" t="s">
        <v>88</v>
      </c>
      <c r="B90" s="9"/>
      <c r="C90" s="1"/>
      <c r="E90" s="34"/>
      <c r="G90" s="34"/>
      <c r="I90" s="34"/>
      <c r="K90" s="60"/>
      <c r="M90" s="76"/>
    </row>
    <row r="91" spans="1:13" ht="15.75" x14ac:dyDescent="0.3">
      <c r="A91" s="41" t="s">
        <v>82</v>
      </c>
      <c r="B91" s="9"/>
      <c r="C91" s="1">
        <f>676.38</f>
        <v>676.38</v>
      </c>
      <c r="E91" s="34">
        <f>729.74+44</f>
        <v>773.74</v>
      </c>
      <c r="G91" s="34">
        <f>869.81</f>
        <v>869.81</v>
      </c>
      <c r="I91" s="34">
        <f>623.02</f>
        <v>623.02</v>
      </c>
      <c r="K91" s="60">
        <f>839.79</f>
        <v>839.79</v>
      </c>
      <c r="M91" s="11">
        <f>SUM(C91+E91+G91+I91+K91)</f>
        <v>3782.74</v>
      </c>
    </row>
    <row r="92" spans="1:13" ht="15.75" x14ac:dyDescent="0.3">
      <c r="A92" s="41" t="s">
        <v>1</v>
      </c>
      <c r="B92" s="9"/>
      <c r="C92" s="1">
        <f>3489.48</f>
        <v>3489.48</v>
      </c>
      <c r="E92" s="34">
        <f>5471.93+253.24+211.2+3595.82+4182.33</f>
        <v>13714.52</v>
      </c>
      <c r="G92" s="34">
        <f>4857.83</f>
        <v>4857.83</v>
      </c>
      <c r="I92" s="34">
        <f>276.7+202.9+180.38+4675.84</f>
        <v>5335.82</v>
      </c>
      <c r="K92" s="60">
        <v>0</v>
      </c>
      <c r="M92" s="11">
        <f t="shared" ref="M92:M125" si="6">SUM(C92+E92+G92+I92+K92)</f>
        <v>27397.65</v>
      </c>
    </row>
    <row r="93" spans="1:13" ht="15.75" x14ac:dyDescent="0.3">
      <c r="A93" s="41" t="s">
        <v>81</v>
      </c>
      <c r="B93" s="9"/>
      <c r="C93" s="1">
        <v>0</v>
      </c>
      <c r="E93" s="34">
        <f>150.03+70.01+89.94+599.93+249.96+50</f>
        <v>1209.8699999999999</v>
      </c>
      <c r="G93" s="34">
        <f>69.98+169.95+150.09</f>
        <v>390.02</v>
      </c>
      <c r="I93" s="34">
        <f>782.92+109.94+1012.88</f>
        <v>1905.7399999999998</v>
      </c>
      <c r="K93" s="60">
        <v>0</v>
      </c>
      <c r="M93" s="11">
        <f t="shared" si="6"/>
        <v>3505.6299999999997</v>
      </c>
    </row>
    <row r="94" spans="1:13" ht="15.75" x14ac:dyDescent="0.3">
      <c r="A94" s="41" t="s">
        <v>89</v>
      </c>
      <c r="B94" s="9"/>
      <c r="C94" s="1">
        <f>846.84+442.86</f>
        <v>1289.7</v>
      </c>
      <c r="E94" s="34">
        <f>59.8+390.94+1158.42</f>
        <v>1609.16</v>
      </c>
      <c r="G94" s="34">
        <f>1548.83+377.36</f>
        <v>1926.19</v>
      </c>
      <c r="I94" s="34">
        <f>391.63+990.2</f>
        <v>1381.83</v>
      </c>
      <c r="K94" s="60">
        <f>874.32+498.28+1010.21+412.71</f>
        <v>2795.52</v>
      </c>
      <c r="M94" s="11">
        <f t="shared" si="6"/>
        <v>9002.4</v>
      </c>
    </row>
    <row r="95" spans="1:13" ht="15.75" x14ac:dyDescent="0.3">
      <c r="A95" s="41" t="s">
        <v>90</v>
      </c>
      <c r="B95" s="9"/>
      <c r="C95" s="1">
        <f>75+140.5+3.2+19.4+7.7</f>
        <v>245.79999999999998</v>
      </c>
      <c r="E95" s="34">
        <f>60.95+44.5+8.2+7.65</f>
        <v>121.30000000000001</v>
      </c>
      <c r="G95" s="34">
        <f>8.2</f>
        <v>8.1999999999999993</v>
      </c>
      <c r="I95" s="34">
        <f>19.81</f>
        <v>19.809999999999999</v>
      </c>
      <c r="K95" s="60">
        <v>0</v>
      </c>
      <c r="M95" s="11">
        <f t="shared" si="6"/>
        <v>395.11</v>
      </c>
    </row>
    <row r="96" spans="1:13" ht="15.75" x14ac:dyDescent="0.3">
      <c r="A96" s="41" t="s">
        <v>91</v>
      </c>
      <c r="B96" s="9"/>
      <c r="C96" s="1">
        <v>0</v>
      </c>
      <c r="E96" s="34">
        <f>618.9</f>
        <v>618.9</v>
      </c>
      <c r="G96" s="34">
        <f>1250.8</f>
        <v>1250.8</v>
      </c>
      <c r="I96" s="34">
        <f>904.67</f>
        <v>904.67</v>
      </c>
      <c r="K96" s="60">
        <v>0</v>
      </c>
      <c r="M96" s="11">
        <f t="shared" si="6"/>
        <v>2774.37</v>
      </c>
    </row>
    <row r="97" spans="1:13" ht="16.5" x14ac:dyDescent="0.3">
      <c r="A97" s="43"/>
      <c r="B97" s="9"/>
      <c r="C97" s="1">
        <v>0</v>
      </c>
      <c r="E97" s="34">
        <v>0</v>
      </c>
      <c r="G97" s="34">
        <v>0</v>
      </c>
      <c r="I97" s="34">
        <v>0</v>
      </c>
      <c r="K97" s="60">
        <v>0</v>
      </c>
      <c r="M97" s="11">
        <f t="shared" si="6"/>
        <v>0</v>
      </c>
    </row>
    <row r="98" spans="1:13" ht="15.75" x14ac:dyDescent="0.3">
      <c r="A98" s="41" t="s">
        <v>92</v>
      </c>
      <c r="B98" s="9"/>
      <c r="C98" s="1">
        <v>0</v>
      </c>
      <c r="E98" s="34">
        <f>4277.25</f>
        <v>4277.25</v>
      </c>
      <c r="G98" s="34">
        <f>933.22</f>
        <v>933.22</v>
      </c>
      <c r="I98" s="34">
        <f>1866.44</f>
        <v>1866.44</v>
      </c>
      <c r="K98" s="60">
        <v>0</v>
      </c>
      <c r="M98" s="11">
        <f t="shared" si="6"/>
        <v>7076.91</v>
      </c>
    </row>
    <row r="99" spans="1:13" ht="16.5" x14ac:dyDescent="0.3">
      <c r="A99" s="43"/>
      <c r="B99" s="9"/>
      <c r="C99" s="1">
        <v>0</v>
      </c>
      <c r="E99" s="34">
        <v>0</v>
      </c>
      <c r="G99" s="34">
        <v>0</v>
      </c>
      <c r="I99" s="34">
        <v>0</v>
      </c>
      <c r="K99" s="60">
        <v>0</v>
      </c>
      <c r="M99" s="11">
        <f t="shared" si="6"/>
        <v>0</v>
      </c>
    </row>
    <row r="100" spans="1:13" ht="15.75" x14ac:dyDescent="0.3">
      <c r="A100" s="41" t="s">
        <v>93</v>
      </c>
      <c r="B100" s="9"/>
      <c r="C100" s="1">
        <v>0</v>
      </c>
      <c r="E100" s="34">
        <v>0</v>
      </c>
      <c r="G100" s="34">
        <v>0</v>
      </c>
      <c r="I100" s="34">
        <v>0</v>
      </c>
      <c r="K100" s="60">
        <v>0</v>
      </c>
      <c r="M100" s="11">
        <f t="shared" si="6"/>
        <v>0</v>
      </c>
    </row>
    <row r="101" spans="1:13" ht="16.5" x14ac:dyDescent="0.3">
      <c r="A101" s="43" t="s">
        <v>201</v>
      </c>
      <c r="B101" s="9"/>
      <c r="C101" s="1">
        <f>40+50</f>
        <v>90</v>
      </c>
      <c r="E101" s="34">
        <v>0</v>
      </c>
      <c r="G101" s="34">
        <v>0</v>
      </c>
      <c r="I101" s="34">
        <f>40+40+40</f>
        <v>120</v>
      </c>
      <c r="K101" s="60">
        <v>0</v>
      </c>
      <c r="M101" s="11">
        <f t="shared" si="6"/>
        <v>210</v>
      </c>
    </row>
    <row r="102" spans="1:13" ht="15.75" x14ac:dyDescent="0.3">
      <c r="A102" s="41" t="s">
        <v>94</v>
      </c>
      <c r="B102" s="9"/>
      <c r="C102" s="1">
        <v>0</v>
      </c>
      <c r="E102" s="34">
        <f>30+91.6+1909.2</f>
        <v>2030.8</v>
      </c>
      <c r="G102" s="34">
        <v>0</v>
      </c>
      <c r="I102" s="34">
        <f>313.65</f>
        <v>313.64999999999998</v>
      </c>
      <c r="K102" s="60">
        <v>0</v>
      </c>
      <c r="M102" s="11">
        <f t="shared" si="6"/>
        <v>2344.4499999999998</v>
      </c>
    </row>
    <row r="103" spans="1:13" ht="15.75" x14ac:dyDescent="0.3">
      <c r="A103" s="41" t="s">
        <v>95</v>
      </c>
      <c r="B103" s="9"/>
      <c r="C103" s="1">
        <v>0</v>
      </c>
      <c r="E103" s="34">
        <f>1739.5+990</f>
        <v>2729.5</v>
      </c>
      <c r="G103" s="34">
        <f>150+330</f>
        <v>480</v>
      </c>
      <c r="I103" s="34">
        <v>0</v>
      </c>
      <c r="K103" s="60">
        <v>0</v>
      </c>
      <c r="M103" s="11">
        <f t="shared" si="6"/>
        <v>3209.5</v>
      </c>
    </row>
    <row r="104" spans="1:13" ht="15.75" x14ac:dyDescent="0.3">
      <c r="A104" s="41" t="s">
        <v>96</v>
      </c>
      <c r="B104" s="9"/>
      <c r="C104" s="1">
        <v>0</v>
      </c>
      <c r="E104" s="34"/>
      <c r="G104" s="34">
        <v>0</v>
      </c>
      <c r="I104" s="34">
        <v>0</v>
      </c>
      <c r="K104" s="60">
        <v>0</v>
      </c>
      <c r="M104" s="11">
        <f t="shared" si="6"/>
        <v>0</v>
      </c>
    </row>
    <row r="105" spans="1:13" ht="15.75" x14ac:dyDescent="0.3">
      <c r="A105" s="41" t="s">
        <v>97</v>
      </c>
      <c r="B105" s="9"/>
      <c r="C105" s="1">
        <v>0</v>
      </c>
      <c r="E105" s="34">
        <f>16+42.5+14.9+14.9+26.19</f>
        <v>114.49000000000001</v>
      </c>
      <c r="G105" s="34">
        <f>89</f>
        <v>89</v>
      </c>
      <c r="I105" s="34">
        <f>83</f>
        <v>83</v>
      </c>
      <c r="K105" s="60">
        <v>0</v>
      </c>
      <c r="M105" s="11">
        <f t="shared" si="6"/>
        <v>286.49</v>
      </c>
    </row>
    <row r="106" spans="1:13" ht="15.75" x14ac:dyDescent="0.3">
      <c r="A106" s="41" t="s">
        <v>98</v>
      </c>
      <c r="B106" s="9"/>
      <c r="C106" s="1">
        <v>0</v>
      </c>
      <c r="E106" s="34">
        <f>2916.7</f>
        <v>2916.7</v>
      </c>
      <c r="G106" s="34">
        <f>603</f>
        <v>603</v>
      </c>
      <c r="I106" s="34">
        <f>120+1276.44</f>
        <v>1396.44</v>
      </c>
      <c r="K106" s="60">
        <v>0</v>
      </c>
      <c r="M106" s="11">
        <f t="shared" si="6"/>
        <v>4916.1399999999994</v>
      </c>
    </row>
    <row r="107" spans="1:13" ht="15.75" x14ac:dyDescent="0.3">
      <c r="A107" s="41" t="s">
        <v>99</v>
      </c>
      <c r="B107" s="9"/>
      <c r="C107" s="1">
        <v>0</v>
      </c>
      <c r="E107" s="34">
        <v>0</v>
      </c>
      <c r="G107" s="34">
        <v>0</v>
      </c>
      <c r="I107" s="34">
        <v>0</v>
      </c>
      <c r="K107" s="60">
        <v>0</v>
      </c>
      <c r="M107" s="11">
        <f t="shared" si="6"/>
        <v>0</v>
      </c>
    </row>
    <row r="108" spans="1:13" ht="15.75" x14ac:dyDescent="0.3">
      <c r="A108" s="41" t="s">
        <v>183</v>
      </c>
      <c r="B108" s="9"/>
      <c r="C108" s="1">
        <v>0</v>
      </c>
      <c r="E108" s="34">
        <v>0</v>
      </c>
      <c r="G108" s="34">
        <f>2511.29</f>
        <v>2511.29</v>
      </c>
      <c r="I108" s="34">
        <f>1607.25</f>
        <v>1607.25</v>
      </c>
      <c r="K108" s="60">
        <v>0</v>
      </c>
      <c r="M108" s="11">
        <f t="shared" si="6"/>
        <v>4118.54</v>
      </c>
    </row>
    <row r="109" spans="1:13" ht="16.5" x14ac:dyDescent="0.3">
      <c r="A109" s="43" t="s">
        <v>196</v>
      </c>
      <c r="B109" s="9"/>
      <c r="C109" s="1">
        <v>0</v>
      </c>
      <c r="E109" s="34">
        <f>2191.14</f>
        <v>2191.14</v>
      </c>
      <c r="G109" s="34">
        <f>378.98</f>
        <v>378.98</v>
      </c>
      <c r="I109" s="34">
        <f>971.67</f>
        <v>971.67</v>
      </c>
      <c r="K109" s="60">
        <v>0</v>
      </c>
      <c r="M109" s="11">
        <f t="shared" si="6"/>
        <v>3541.79</v>
      </c>
    </row>
    <row r="110" spans="1:13" ht="15.75" x14ac:dyDescent="0.3">
      <c r="A110" s="41" t="s">
        <v>100</v>
      </c>
      <c r="B110" s="9"/>
      <c r="C110" s="1">
        <f>773+240+621.3</f>
        <v>1634.3</v>
      </c>
      <c r="E110" s="34">
        <f>132.57</f>
        <v>132.57</v>
      </c>
      <c r="G110" s="34">
        <v>0</v>
      </c>
      <c r="I110" s="34">
        <f>66.7</f>
        <v>66.7</v>
      </c>
      <c r="K110" s="60">
        <f>409</f>
        <v>409</v>
      </c>
      <c r="M110" s="11">
        <f t="shared" si="6"/>
        <v>2242.5699999999997</v>
      </c>
    </row>
    <row r="111" spans="1:13" ht="15.75" x14ac:dyDescent="0.3">
      <c r="A111" s="41" t="s">
        <v>101</v>
      </c>
      <c r="B111" s="9"/>
      <c r="C111" s="1">
        <f>600</f>
        <v>600</v>
      </c>
      <c r="E111" s="34">
        <f>621+600</f>
        <v>1221</v>
      </c>
      <c r="G111" s="34">
        <f>1221</f>
        <v>1221</v>
      </c>
      <c r="I111" s="34">
        <f>621</f>
        <v>621</v>
      </c>
      <c r="K111" s="60">
        <f>621</f>
        <v>621</v>
      </c>
      <c r="M111" s="11">
        <f t="shared" si="6"/>
        <v>4284</v>
      </c>
    </row>
    <row r="112" spans="1:13" ht="15.75" x14ac:dyDescent="0.3">
      <c r="A112" s="41" t="s">
        <v>102</v>
      </c>
      <c r="B112" s="9"/>
      <c r="C112" s="1">
        <v>0</v>
      </c>
      <c r="E112" s="34">
        <v>0</v>
      </c>
      <c r="G112" s="34">
        <v>0</v>
      </c>
      <c r="I112" s="34">
        <v>0</v>
      </c>
      <c r="K112" s="60">
        <v>0</v>
      </c>
      <c r="M112" s="11">
        <f t="shared" si="6"/>
        <v>0</v>
      </c>
    </row>
    <row r="113" spans="1:13" ht="15.75" x14ac:dyDescent="0.3">
      <c r="A113" s="41" t="s">
        <v>103</v>
      </c>
      <c r="B113" s="9"/>
      <c r="C113" s="1">
        <v>0</v>
      </c>
      <c r="E113" s="34">
        <v>0</v>
      </c>
      <c r="G113" s="34">
        <v>0</v>
      </c>
      <c r="I113" s="34">
        <f>1178.32</f>
        <v>1178.32</v>
      </c>
      <c r="K113" s="60">
        <f>1150+30.6</f>
        <v>1180.5999999999999</v>
      </c>
      <c r="M113" s="11">
        <f t="shared" si="6"/>
        <v>2358.92</v>
      </c>
    </row>
    <row r="114" spans="1:13" ht="15.75" x14ac:dyDescent="0.3">
      <c r="A114" s="41" t="s">
        <v>182</v>
      </c>
      <c r="B114" s="9"/>
      <c r="C114" s="1">
        <f>625+460</f>
        <v>1085</v>
      </c>
      <c r="E114" s="34">
        <f>458.5+625</f>
        <v>1083.5</v>
      </c>
      <c r="G114" s="34">
        <f>458.5+625</f>
        <v>1083.5</v>
      </c>
      <c r="I114" s="34">
        <f>458.5+625</f>
        <v>1083.5</v>
      </c>
      <c r="K114" s="60">
        <v>0</v>
      </c>
      <c r="M114" s="11">
        <f t="shared" si="6"/>
        <v>4335.5</v>
      </c>
    </row>
    <row r="115" spans="1:13" ht="15.75" x14ac:dyDescent="0.3">
      <c r="A115" s="41" t="s">
        <v>104</v>
      </c>
      <c r="B115" s="9"/>
      <c r="C115" s="1">
        <v>0</v>
      </c>
      <c r="E115" s="34">
        <v>0</v>
      </c>
      <c r="G115" s="34">
        <v>0</v>
      </c>
      <c r="I115" s="34">
        <v>0</v>
      </c>
      <c r="K115" s="60">
        <v>0</v>
      </c>
      <c r="M115" s="11">
        <f t="shared" si="6"/>
        <v>0</v>
      </c>
    </row>
    <row r="116" spans="1:13" ht="15.75" x14ac:dyDescent="0.3">
      <c r="A116" s="41" t="s">
        <v>105</v>
      </c>
      <c r="B116" s="9"/>
      <c r="C116" s="1">
        <v>0</v>
      </c>
      <c r="E116" s="34">
        <v>0</v>
      </c>
      <c r="G116" s="34">
        <v>0</v>
      </c>
      <c r="I116" s="34">
        <v>0</v>
      </c>
      <c r="K116" s="60">
        <f>330</f>
        <v>330</v>
      </c>
      <c r="M116" s="11">
        <f t="shared" si="6"/>
        <v>330</v>
      </c>
    </row>
    <row r="117" spans="1:13" ht="15.75" x14ac:dyDescent="0.3">
      <c r="A117" s="41" t="s">
        <v>83</v>
      </c>
      <c r="B117" s="9"/>
      <c r="C117" s="1">
        <v>0</v>
      </c>
      <c r="E117" s="34">
        <v>0</v>
      </c>
      <c r="G117" s="34">
        <v>0</v>
      </c>
      <c r="I117" s="34">
        <v>0</v>
      </c>
      <c r="K117" s="60">
        <v>0</v>
      </c>
      <c r="M117" s="11">
        <f t="shared" si="6"/>
        <v>0</v>
      </c>
    </row>
    <row r="118" spans="1:13" ht="15.75" x14ac:dyDescent="0.3">
      <c r="A118" s="42" t="s">
        <v>67</v>
      </c>
      <c r="B118" s="9"/>
      <c r="C118" s="1">
        <v>0</v>
      </c>
      <c r="E118" s="34">
        <f>924</f>
        <v>924</v>
      </c>
      <c r="G118" s="34">
        <v>0</v>
      </c>
      <c r="I118" s="34">
        <v>0</v>
      </c>
      <c r="K118" s="60">
        <v>0</v>
      </c>
      <c r="M118" s="11">
        <f t="shared" si="6"/>
        <v>924</v>
      </c>
    </row>
    <row r="119" spans="1:13" ht="15.75" x14ac:dyDescent="0.3">
      <c r="A119" s="41" t="s">
        <v>61</v>
      </c>
      <c r="B119" s="9"/>
      <c r="C119" s="1">
        <v>0</v>
      </c>
      <c r="E119" s="34">
        <v>0</v>
      </c>
      <c r="G119" s="34">
        <v>0</v>
      </c>
      <c r="I119" s="34">
        <v>0</v>
      </c>
      <c r="K119" s="60">
        <f>618.01+506.18</f>
        <v>1124.19</v>
      </c>
      <c r="M119" s="11">
        <f t="shared" si="6"/>
        <v>1124.19</v>
      </c>
    </row>
    <row r="120" spans="1:13" ht="15.75" x14ac:dyDescent="0.3">
      <c r="A120" s="42" t="s">
        <v>72</v>
      </c>
      <c r="B120" s="9"/>
      <c r="C120" s="1">
        <v>0</v>
      </c>
      <c r="E120" s="34">
        <v>0</v>
      </c>
      <c r="G120" s="34">
        <v>0</v>
      </c>
      <c r="I120" s="34">
        <v>0</v>
      </c>
      <c r="K120" s="60">
        <v>0</v>
      </c>
      <c r="M120" s="11">
        <f t="shared" si="6"/>
        <v>0</v>
      </c>
    </row>
    <row r="121" spans="1:13" ht="15.75" x14ac:dyDescent="0.3">
      <c r="A121" s="41" t="s">
        <v>73</v>
      </c>
      <c r="B121" s="9"/>
      <c r="C121" s="1">
        <v>0</v>
      </c>
      <c r="E121" s="34">
        <v>0</v>
      </c>
      <c r="G121" s="34">
        <v>0</v>
      </c>
      <c r="I121" s="34">
        <v>0</v>
      </c>
      <c r="K121" s="60">
        <v>0</v>
      </c>
      <c r="M121" s="11">
        <f t="shared" si="6"/>
        <v>0</v>
      </c>
    </row>
    <row r="122" spans="1:13" ht="15.75" x14ac:dyDescent="0.3">
      <c r="A122" s="41" t="s">
        <v>74</v>
      </c>
      <c r="B122" s="9"/>
      <c r="C122" s="1">
        <v>0</v>
      </c>
      <c r="E122" s="34">
        <v>0</v>
      </c>
      <c r="G122" s="34">
        <v>0</v>
      </c>
      <c r="I122" s="34">
        <v>0</v>
      </c>
      <c r="K122" s="60">
        <v>0</v>
      </c>
      <c r="M122" s="11">
        <f t="shared" si="6"/>
        <v>0</v>
      </c>
    </row>
    <row r="123" spans="1:13" ht="15.75" x14ac:dyDescent="0.3">
      <c r="A123" s="42" t="s">
        <v>75</v>
      </c>
      <c r="B123" s="9"/>
      <c r="C123" s="1">
        <v>0</v>
      </c>
      <c r="E123" s="34">
        <v>0</v>
      </c>
      <c r="G123" s="34">
        <v>0</v>
      </c>
      <c r="I123" s="34">
        <v>0</v>
      </c>
      <c r="K123" s="60">
        <v>0</v>
      </c>
      <c r="M123" s="11">
        <f t="shared" si="6"/>
        <v>0</v>
      </c>
    </row>
    <row r="124" spans="1:13" ht="15.75" x14ac:dyDescent="0.3">
      <c r="A124" s="42" t="s">
        <v>119</v>
      </c>
      <c r="B124" s="9"/>
      <c r="C124" s="1">
        <v>0</v>
      </c>
      <c r="E124" s="34">
        <f>4515.32</f>
        <v>4515.32</v>
      </c>
      <c r="G124" s="34">
        <v>0</v>
      </c>
      <c r="I124" s="34">
        <v>0</v>
      </c>
      <c r="K124" s="60">
        <f>1969.94</f>
        <v>1969.94</v>
      </c>
      <c r="M124" s="11">
        <f t="shared" si="6"/>
        <v>6485.26</v>
      </c>
    </row>
    <row r="125" spans="1:13" ht="15.75" x14ac:dyDescent="0.3">
      <c r="A125" s="42" t="s">
        <v>195</v>
      </c>
      <c r="B125" s="9"/>
      <c r="C125" s="1">
        <v>0</v>
      </c>
      <c r="E125" s="34">
        <f>1727.95</f>
        <v>1727.95</v>
      </c>
      <c r="G125" s="34">
        <f>1176.43</f>
        <v>1176.43</v>
      </c>
      <c r="I125" s="34">
        <f>1249.61</f>
        <v>1249.6099999999999</v>
      </c>
      <c r="K125" s="60">
        <f>1246.7</f>
        <v>1246.7</v>
      </c>
      <c r="M125" s="11">
        <f t="shared" si="6"/>
        <v>5400.69</v>
      </c>
    </row>
    <row r="126" spans="1:13" ht="15.75" x14ac:dyDescent="0.3">
      <c r="A126" s="46" t="s">
        <v>32</v>
      </c>
      <c r="B126" s="32"/>
      <c r="C126" s="81">
        <f>SUM(C91:C125)</f>
        <v>9110.66</v>
      </c>
      <c r="D126" s="32"/>
      <c r="E126" s="81">
        <f>SUM(E91:E125)</f>
        <v>41911.71</v>
      </c>
      <c r="F126" s="32"/>
      <c r="G126" s="81">
        <f>SUM(G91:G125)</f>
        <v>17779.27</v>
      </c>
      <c r="H126" s="32"/>
      <c r="I126" s="81">
        <f>SUM(I91:I125)</f>
        <v>20728.47</v>
      </c>
      <c r="J126" s="32"/>
      <c r="K126" s="81">
        <f>SUM(K91:K125)</f>
        <v>10516.740000000002</v>
      </c>
      <c r="L126" s="32"/>
      <c r="M126" s="79">
        <f>SUM(C126+E126+G126+I126+K126)</f>
        <v>100046.85</v>
      </c>
    </row>
    <row r="127" spans="1:13" ht="15.75" x14ac:dyDescent="0.3">
      <c r="A127" s="45" t="s">
        <v>76</v>
      </c>
      <c r="B127" s="9"/>
      <c r="C127" s="1"/>
      <c r="E127" s="34"/>
      <c r="G127" s="34"/>
      <c r="I127" s="34"/>
      <c r="K127" s="60"/>
      <c r="M127" s="76"/>
    </row>
    <row r="128" spans="1:13" ht="15.75" x14ac:dyDescent="0.3">
      <c r="A128" s="42" t="s">
        <v>123</v>
      </c>
      <c r="B128" s="9"/>
      <c r="C128" s="1">
        <v>0</v>
      </c>
      <c r="E128" s="34">
        <f>1594.59</f>
        <v>1594.59</v>
      </c>
      <c r="G128" s="34">
        <f>1205.67</f>
        <v>1205.67</v>
      </c>
      <c r="I128" s="34">
        <f>293.43</f>
        <v>293.43</v>
      </c>
      <c r="K128" s="60">
        <f>242.72</f>
        <v>242.72</v>
      </c>
      <c r="M128" s="11">
        <f>SUM(C128+E128+G128+I128+K128)</f>
        <v>3336.41</v>
      </c>
    </row>
    <row r="129" spans="1:13" ht="15.75" x14ac:dyDescent="0.3">
      <c r="A129" s="42" t="s">
        <v>124</v>
      </c>
      <c r="B129" s="9"/>
      <c r="C129" s="1">
        <v>0</v>
      </c>
      <c r="E129" s="34">
        <f>1413.35+336.74+140.48+268.91+5369.03+403.67+172.24+900.67+136.47+147.85+72.7+30.35+97.45+153.26</f>
        <v>9643.1700000000019</v>
      </c>
      <c r="G129" s="34">
        <f>173.81+1060.79+81.84+751.64+97.59+79.09+61.47+120.51+59.22+109.86+292.38+19.05+20.24+112.69+20.24+74.51+14.3</f>
        <v>3149.2300000000005</v>
      </c>
      <c r="I129" s="34">
        <f>932+219.38+138.85+752.88</f>
        <v>2043.1100000000001</v>
      </c>
      <c r="K129" s="60">
        <f>740+22.6+667.6+71.48+113.15+129.82+45.53+75.52+5.94+80.79+50.8+250.74+100.95+783.5+1386.92+185.97+305.66</f>
        <v>5016.97</v>
      </c>
      <c r="M129" s="11">
        <f t="shared" ref="M129:M132" si="7">SUM(C129+E129+G129+I129+K129)</f>
        <v>19852.480000000003</v>
      </c>
    </row>
    <row r="130" spans="1:13" ht="15.75" x14ac:dyDescent="0.3">
      <c r="A130" s="42" t="s">
        <v>128</v>
      </c>
      <c r="B130" s="9"/>
      <c r="C130" s="1">
        <f>354.26</f>
        <v>354.26</v>
      </c>
      <c r="E130" s="34">
        <v>0</v>
      </c>
      <c r="G130" s="34">
        <f>736.17</f>
        <v>736.17</v>
      </c>
      <c r="I130" s="34">
        <f>608.83</f>
        <v>608.83000000000004</v>
      </c>
      <c r="K130" s="60">
        <f>534.21</f>
        <v>534.21</v>
      </c>
      <c r="M130" s="11">
        <f t="shared" si="7"/>
        <v>2233.4699999999998</v>
      </c>
    </row>
    <row r="131" spans="1:13" ht="15.75" x14ac:dyDescent="0.3">
      <c r="A131" s="42" t="s">
        <v>125</v>
      </c>
      <c r="B131" s="9"/>
      <c r="C131" s="1">
        <v>0</v>
      </c>
      <c r="E131" s="34">
        <f>46.68+22.9+21.06+4.95</f>
        <v>95.59</v>
      </c>
      <c r="G131" s="34">
        <f>4.95+24.75+4.95+34.39+13.67</f>
        <v>82.71</v>
      </c>
      <c r="I131" s="34">
        <v>0</v>
      </c>
      <c r="K131" s="60">
        <f>4.95+305.66</f>
        <v>310.61</v>
      </c>
      <c r="M131" s="11">
        <f t="shared" si="7"/>
        <v>488.91</v>
      </c>
    </row>
    <row r="132" spans="1:13" ht="15.75" x14ac:dyDescent="0.3">
      <c r="A132" s="42" t="s">
        <v>126</v>
      </c>
      <c r="B132" s="9"/>
      <c r="C132" s="1">
        <v>0</v>
      </c>
      <c r="E132" s="34">
        <f>5.73+69+91.98+116.73+161.2+10.12+2.43</f>
        <v>457.19</v>
      </c>
      <c r="G132" s="34">
        <f>103.27+7.69</f>
        <v>110.96</v>
      </c>
      <c r="I132" s="34">
        <f>17.7+15+4.5</f>
        <v>37.200000000000003</v>
      </c>
      <c r="K132" s="60">
        <f>97.79+24.31+131.8</f>
        <v>253.90000000000003</v>
      </c>
      <c r="M132" s="11">
        <f t="shared" si="7"/>
        <v>859.25</v>
      </c>
    </row>
    <row r="133" spans="1:13" ht="15.75" x14ac:dyDescent="0.3">
      <c r="A133" s="46" t="s">
        <v>32</v>
      </c>
      <c r="B133" s="32"/>
      <c r="C133" s="81">
        <f>SUM(C128:C132)</f>
        <v>354.26</v>
      </c>
      <c r="D133" s="32"/>
      <c r="E133" s="81">
        <f>SUM(E128:E132)</f>
        <v>11790.540000000003</v>
      </c>
      <c r="F133" s="32"/>
      <c r="G133" s="81">
        <f>SUM(G128:G132)</f>
        <v>5284.7400000000007</v>
      </c>
      <c r="H133" s="32"/>
      <c r="I133" s="81">
        <f>SUM(I128:I132)</f>
        <v>2982.5699999999997</v>
      </c>
      <c r="J133" s="32"/>
      <c r="K133" s="81">
        <f>SUM(K128:K132)</f>
        <v>6358.41</v>
      </c>
      <c r="L133" s="32"/>
      <c r="M133" s="79">
        <f>SUM(C133+E133+G133+I133+K133)</f>
        <v>26770.520000000004</v>
      </c>
    </row>
    <row r="134" spans="1:13" ht="15.75" x14ac:dyDescent="0.3">
      <c r="A134" s="45" t="s">
        <v>152</v>
      </c>
      <c r="B134" s="9"/>
      <c r="C134" s="14"/>
      <c r="E134" s="69"/>
      <c r="G134" s="69"/>
      <c r="I134" s="69"/>
      <c r="K134" s="60"/>
      <c r="M134" s="76"/>
    </row>
    <row r="135" spans="1:13" ht="15.75" x14ac:dyDescent="0.3">
      <c r="A135" s="42" t="s">
        <v>140</v>
      </c>
      <c r="B135" s="9"/>
      <c r="C135" s="1">
        <f>1570.15+1384.78</f>
        <v>2954.9300000000003</v>
      </c>
      <c r="E135" s="34">
        <f>2074.74+539.82+145.56+162.16</f>
        <v>2922.2799999999997</v>
      </c>
      <c r="G135" s="34">
        <f>619.19+607.85+34.87+138.17+241.85</f>
        <v>1641.9299999999998</v>
      </c>
      <c r="I135" s="34">
        <f>613.54+25.58+17.72+39.92</f>
        <v>696.76</v>
      </c>
      <c r="K135" s="60">
        <f>296.76+159.31+165.6</f>
        <v>621.66999999999996</v>
      </c>
      <c r="M135" s="11">
        <f>SUM(C135+E135+G135+I135+K135)</f>
        <v>8837.57</v>
      </c>
    </row>
    <row r="136" spans="1:13" ht="15.75" x14ac:dyDescent="0.3">
      <c r="A136" s="42" t="s">
        <v>141</v>
      </c>
      <c r="B136" s="9"/>
      <c r="C136" s="1">
        <f>1440.39</f>
        <v>1440.39</v>
      </c>
      <c r="E136" s="34">
        <f>495.74</f>
        <v>495.74</v>
      </c>
      <c r="G136" s="34">
        <v>0</v>
      </c>
      <c r="I136" s="34">
        <f>144+1570.37</f>
        <v>1714.37</v>
      </c>
      <c r="K136" s="60">
        <v>0</v>
      </c>
      <c r="M136" s="11">
        <f t="shared" ref="M136:M137" si="8">SUM(C136+E136+G136+I136+K136)</f>
        <v>3650.5</v>
      </c>
    </row>
    <row r="137" spans="1:13" ht="15.75" x14ac:dyDescent="0.3">
      <c r="A137" s="42" t="s">
        <v>78</v>
      </c>
      <c r="B137" s="9"/>
      <c r="C137" s="1">
        <v>0</v>
      </c>
      <c r="E137" s="34">
        <v>0</v>
      </c>
      <c r="G137" s="34">
        <v>0</v>
      </c>
      <c r="I137" s="34">
        <v>0</v>
      </c>
      <c r="K137" s="60">
        <v>0</v>
      </c>
      <c r="M137" s="11">
        <f t="shared" si="8"/>
        <v>0</v>
      </c>
    </row>
    <row r="138" spans="1:13" ht="15.75" x14ac:dyDescent="0.3">
      <c r="A138" s="42"/>
      <c r="B138" s="32"/>
      <c r="C138" s="81">
        <f>SUM(C135:C137)</f>
        <v>4395.3200000000006</v>
      </c>
      <c r="D138" s="32"/>
      <c r="E138" s="81">
        <f>SUM(E135:E137)</f>
        <v>3418.0199999999995</v>
      </c>
      <c r="F138" s="32"/>
      <c r="G138" s="81">
        <f>SUM(G135:G137)</f>
        <v>1641.9299999999998</v>
      </c>
      <c r="H138" s="32"/>
      <c r="I138" s="81">
        <f>SUM(I135:I137)</f>
        <v>2411.13</v>
      </c>
      <c r="J138" s="32"/>
      <c r="K138" s="81">
        <f>SUM(K135:K136)</f>
        <v>621.66999999999996</v>
      </c>
      <c r="L138" s="32"/>
      <c r="M138" s="79">
        <f>SUM(C138+E138+G138+I138+K138)</f>
        <v>12488.070000000002</v>
      </c>
    </row>
    <row r="139" spans="1:13" ht="16.5" x14ac:dyDescent="0.3">
      <c r="A139" s="45" t="s">
        <v>127</v>
      </c>
      <c r="B139" s="9"/>
      <c r="C139" s="1"/>
      <c r="E139" s="34"/>
      <c r="G139" s="34"/>
      <c r="I139" s="34"/>
      <c r="K139" s="60"/>
      <c r="M139" s="93">
        <v>3</v>
      </c>
    </row>
    <row r="140" spans="1:13" ht="15.75" x14ac:dyDescent="0.3">
      <c r="A140" s="42" t="s">
        <v>226</v>
      </c>
      <c r="B140" s="9"/>
      <c r="C140" s="1">
        <f>418.33+672.21+2803.05+983.04+618.78+329.6+288.96+689.75+261.17+252+180+779.4+206.42</f>
        <v>8482.7100000000009</v>
      </c>
      <c r="E140" s="34">
        <f>72.25+35.2+67.26+56.13+3813.89+236+5525.6+2510.77+5015.81+2678.66</f>
        <v>20011.57</v>
      </c>
      <c r="G140" s="34">
        <f>4012.93+171.5+577.92+1737.88+1762.97+3375.76+3430.31</f>
        <v>15069.27</v>
      </c>
      <c r="I140" s="34">
        <f>34.93+6.85+9.98+2754.44</f>
        <v>2806.2000000000003</v>
      </c>
      <c r="K140" s="60">
        <f>5456.74+87.52+5354.02+17.85</f>
        <v>10916.130000000001</v>
      </c>
      <c r="M140" s="11">
        <f>SUM(C140+E140+G140+I140+K140)</f>
        <v>57285.880000000005</v>
      </c>
    </row>
    <row r="141" spans="1:13" ht="15.75" x14ac:dyDescent="0.3">
      <c r="A141" s="41" t="s">
        <v>77</v>
      </c>
      <c r="B141" s="9"/>
      <c r="C141" s="1">
        <v>0</v>
      </c>
      <c r="E141" s="34">
        <v>0</v>
      </c>
      <c r="G141" s="34">
        <v>0</v>
      </c>
      <c r="I141" s="34">
        <v>0</v>
      </c>
      <c r="K141" s="60">
        <v>0</v>
      </c>
      <c r="M141" s="11">
        <f t="shared" ref="M141:M142" si="9">SUM(C141+E141+G141+I141+K141)</f>
        <v>0</v>
      </c>
    </row>
    <row r="142" spans="1:13" ht="15.75" x14ac:dyDescent="0.3">
      <c r="A142" s="42" t="s">
        <v>225</v>
      </c>
      <c r="B142" s="9"/>
      <c r="C142" s="1">
        <v>0</v>
      </c>
      <c r="E142" s="34">
        <f>2250</f>
        <v>2250</v>
      </c>
      <c r="G142" s="34">
        <v>0</v>
      </c>
      <c r="I142" s="34">
        <f>2025</f>
        <v>2025</v>
      </c>
      <c r="K142" s="60">
        <f>23.39</f>
        <v>23.39</v>
      </c>
      <c r="M142" s="11">
        <f t="shared" si="9"/>
        <v>4298.3900000000003</v>
      </c>
    </row>
    <row r="143" spans="1:13" ht="15.75" x14ac:dyDescent="0.3">
      <c r="A143" s="46" t="s">
        <v>32</v>
      </c>
      <c r="B143" s="32"/>
      <c r="C143" s="81">
        <f>SUM(C140:C142)</f>
        <v>8482.7100000000009</v>
      </c>
      <c r="D143" s="32"/>
      <c r="E143" s="81">
        <f>SUM(E140:E142)</f>
        <v>22261.57</v>
      </c>
      <c r="F143" s="32"/>
      <c r="G143" s="81">
        <f>SUM(G140:G142)</f>
        <v>15069.27</v>
      </c>
      <c r="H143" s="32"/>
      <c r="I143" s="81">
        <f>SUM(I140:I142)</f>
        <v>4831.2000000000007</v>
      </c>
      <c r="J143" s="32"/>
      <c r="K143" s="81">
        <f>SUM(K140:K142)</f>
        <v>10939.52</v>
      </c>
      <c r="L143" s="32"/>
      <c r="M143" s="79">
        <f>SUM(C143+E143+G143+I143+K143)</f>
        <v>61584.270000000004</v>
      </c>
    </row>
    <row r="144" spans="1:13" ht="15.75" x14ac:dyDescent="0.3">
      <c r="A144" s="45" t="s">
        <v>154</v>
      </c>
      <c r="B144" s="9"/>
      <c r="C144" s="1"/>
      <c r="E144" s="34"/>
      <c r="G144" s="34"/>
      <c r="I144" s="34"/>
      <c r="K144" s="60"/>
      <c r="M144" s="76"/>
    </row>
    <row r="145" spans="1:13" ht="15.75" x14ac:dyDescent="0.3">
      <c r="A145" s="42" t="s">
        <v>80</v>
      </c>
      <c r="B145" s="9"/>
      <c r="C145" s="1">
        <v>0</v>
      </c>
      <c r="E145" s="34">
        <f>800+90+340</f>
        <v>1230</v>
      </c>
      <c r="G145" s="34">
        <v>0</v>
      </c>
      <c r="I145" s="34">
        <f>291.78+516</f>
        <v>807.78</v>
      </c>
      <c r="K145" s="60">
        <v>0</v>
      </c>
      <c r="M145" s="11">
        <f>SUM(C145+E145+G145+I145+K145)</f>
        <v>2037.78</v>
      </c>
    </row>
    <row r="146" spans="1:13" ht="15.75" x14ac:dyDescent="0.3">
      <c r="A146" s="42" t="s">
        <v>79</v>
      </c>
      <c r="B146" s="9"/>
      <c r="C146" s="1">
        <f>833+200+60+14</f>
        <v>1107</v>
      </c>
      <c r="E146" s="34">
        <f>300+1754.36</f>
        <v>2054.3599999999997</v>
      </c>
      <c r="G146" s="34">
        <f>250+291</f>
        <v>541</v>
      </c>
      <c r="I146" s="34">
        <f>47.94+7.48</f>
        <v>55.42</v>
      </c>
      <c r="K146" s="60">
        <v>0</v>
      </c>
      <c r="M146" s="11">
        <f t="shared" ref="M146:M148" si="10">SUM(C146+E146+G146+I146+K146)</f>
        <v>3757.7799999999997</v>
      </c>
    </row>
    <row r="147" spans="1:13" ht="15.75" x14ac:dyDescent="0.3">
      <c r="A147" s="41" t="s">
        <v>129</v>
      </c>
      <c r="B147" s="9"/>
      <c r="C147" s="1">
        <f>107</f>
        <v>107</v>
      </c>
      <c r="E147" s="34">
        <f>400</f>
        <v>400</v>
      </c>
      <c r="G147" s="34">
        <f>1700</f>
        <v>1700</v>
      </c>
      <c r="I147" s="34">
        <f>1700</f>
        <v>1700</v>
      </c>
      <c r="K147" s="60">
        <v>0</v>
      </c>
      <c r="M147" s="11">
        <f t="shared" si="10"/>
        <v>3907</v>
      </c>
    </row>
    <row r="148" spans="1:13" ht="15.75" x14ac:dyDescent="0.3">
      <c r="A148" s="41" t="s">
        <v>227</v>
      </c>
      <c r="B148" s="9"/>
      <c r="C148" s="1">
        <v>0</v>
      </c>
      <c r="E148" s="34">
        <v>0</v>
      </c>
      <c r="G148" s="34">
        <v>1500</v>
      </c>
      <c r="I148" s="34">
        <v>1500</v>
      </c>
      <c r="K148" s="60">
        <v>1500</v>
      </c>
      <c r="M148" s="11">
        <f t="shared" si="10"/>
        <v>4500</v>
      </c>
    </row>
    <row r="149" spans="1:13" ht="15.75" x14ac:dyDescent="0.3">
      <c r="A149" s="46" t="s">
        <v>32</v>
      </c>
      <c r="B149" s="32"/>
      <c r="C149" s="81">
        <f>SUM(C145:C148)</f>
        <v>1214</v>
      </c>
      <c r="D149" s="32"/>
      <c r="E149" s="81">
        <f>SUM(E145:E148)</f>
        <v>3684.3599999999997</v>
      </c>
      <c r="F149" s="32"/>
      <c r="G149" s="81">
        <f>SUM(G145:G148)</f>
        <v>3741</v>
      </c>
      <c r="H149" s="32"/>
      <c r="I149" s="81">
        <f>SUM(I145:I148)</f>
        <v>4063.2</v>
      </c>
      <c r="J149" s="32"/>
      <c r="K149" s="81">
        <f>SUM(K145:K148)</f>
        <v>1500</v>
      </c>
      <c r="L149" s="32"/>
      <c r="M149" s="79">
        <f>SUM(C149+E149+G149+I149+K149)</f>
        <v>14202.560000000001</v>
      </c>
    </row>
    <row r="150" spans="1:13" ht="15.75" x14ac:dyDescent="0.3">
      <c r="A150" s="45" t="s">
        <v>84</v>
      </c>
      <c r="B150" s="9"/>
      <c r="C150" s="34"/>
      <c r="D150" s="31"/>
      <c r="E150" s="34"/>
      <c r="F150" s="31"/>
      <c r="G150" s="34"/>
      <c r="H150" s="31"/>
      <c r="I150" s="34"/>
      <c r="J150" s="31"/>
      <c r="K150" s="78"/>
      <c r="L150" s="31"/>
      <c r="M150" s="76"/>
    </row>
    <row r="151" spans="1:13" ht="15.75" x14ac:dyDescent="0.3">
      <c r="A151" s="41" t="s">
        <v>85</v>
      </c>
      <c r="B151" s="9"/>
      <c r="C151" s="1">
        <f>13.55+29.9+6.63+40+13.55+6.63+4.2+22+21.5+64.6+53.09</f>
        <v>275.64999999999998</v>
      </c>
      <c r="E151" s="34">
        <f>21.9+5.76+29.9+13.55+7.09+2.1+22+3.4+3.78+61.2+52.05+106.5</f>
        <v>329.23</v>
      </c>
      <c r="G151" s="34">
        <f>4.2+22+57.8+52.46+29.9+40+13.55+21.9</f>
        <v>241.81000000000003</v>
      </c>
      <c r="I151" s="34">
        <f>20.3+41.4+1.7+22.1+4+6.8+1.7+2+1.7+0.85+2+0.85+66+0.85+29.9+6.45+4.2+2.55+12+0.85+0.85+0.85+13.6+16+1.7+22+0.85+2+2+2+1.7+2+2+2.55+2+1.7+0.85+2+38+27+0.85+2+2+0.85</f>
        <v>375.55</v>
      </c>
      <c r="K151" s="60">
        <f>21.9+41.4+2+0.85+2+2+2+2.55+2+2+2+2+8.39+5.57+7.71+29.9+40+0.85+4.2+0.85+121.62+2+2+2+2+2+2+2+2+2+2+2+1.7+29+2+2+2+2+0.85+0.85+2+2+2+2+2</f>
        <v>374.19</v>
      </c>
      <c r="M151" s="11">
        <f t="shared" ref="M151:M154" si="11">SUM(C151:K151)</f>
        <v>1596.43</v>
      </c>
    </row>
    <row r="152" spans="1:13" ht="15.75" x14ac:dyDescent="0.3">
      <c r="A152" s="41" t="s">
        <v>86</v>
      </c>
      <c r="B152" s="9"/>
      <c r="C152" s="1">
        <v>0</v>
      </c>
      <c r="E152" s="34">
        <v>0</v>
      </c>
      <c r="G152" s="34">
        <v>594.99</v>
      </c>
      <c r="I152" s="34">
        <v>0</v>
      </c>
      <c r="K152" s="60">
        <v>0</v>
      </c>
      <c r="M152" s="11">
        <f t="shared" si="11"/>
        <v>594.99</v>
      </c>
    </row>
    <row r="153" spans="1:13" ht="15.75" x14ac:dyDescent="0.3">
      <c r="A153" s="41" t="s">
        <v>200</v>
      </c>
      <c r="B153" s="9"/>
      <c r="C153" s="1">
        <v>0</v>
      </c>
      <c r="E153" s="34">
        <v>0</v>
      </c>
      <c r="G153" s="34">
        <f>258</f>
        <v>258</v>
      </c>
      <c r="I153" s="34">
        <v>0</v>
      </c>
      <c r="K153" s="60">
        <v>0</v>
      </c>
      <c r="M153" s="11">
        <f t="shared" si="11"/>
        <v>258</v>
      </c>
    </row>
    <row r="154" spans="1:13" ht="15.75" x14ac:dyDescent="0.3">
      <c r="A154" s="41" t="s">
        <v>87</v>
      </c>
      <c r="B154" s="9"/>
      <c r="C154" s="1">
        <f>274.34+900</f>
        <v>1174.3399999999999</v>
      </c>
      <c r="E154" s="34">
        <f>298.6</f>
        <v>298.60000000000002</v>
      </c>
      <c r="G154" s="34">
        <f>298.6</f>
        <v>298.60000000000002</v>
      </c>
      <c r="I154" s="34">
        <f>393.64</f>
        <v>393.64</v>
      </c>
      <c r="K154" s="60">
        <v>0</v>
      </c>
      <c r="M154" s="11">
        <f t="shared" si="11"/>
        <v>2165.1799999999998</v>
      </c>
    </row>
    <row r="155" spans="1:13" ht="15.75" x14ac:dyDescent="0.3">
      <c r="A155" s="46" t="s">
        <v>32</v>
      </c>
      <c r="B155" s="32"/>
      <c r="C155" s="81">
        <f>SUM(C150:C154)</f>
        <v>1449.9899999999998</v>
      </c>
      <c r="D155" s="32"/>
      <c r="E155" s="81">
        <f>SUM(E150:E154)</f>
        <v>627.83000000000004</v>
      </c>
      <c r="F155" s="32"/>
      <c r="G155" s="81">
        <f>SUM(G150:G154)</f>
        <v>1393.4</v>
      </c>
      <c r="H155" s="32"/>
      <c r="I155" s="81">
        <f>SUM(I150:I154)</f>
        <v>769.19</v>
      </c>
      <c r="J155" s="32"/>
      <c r="K155" s="81">
        <f>SUM(K150:K154)</f>
        <v>374.19</v>
      </c>
      <c r="L155" s="32"/>
      <c r="M155" s="79">
        <f>SUM(C155+E155+G155+I155+K155)</f>
        <v>4614.5999999999995</v>
      </c>
    </row>
    <row r="156" spans="1:13" s="31" customFormat="1" ht="15.75" x14ac:dyDescent="0.3">
      <c r="A156" s="77"/>
      <c r="B156" s="32"/>
      <c r="C156" s="69"/>
      <c r="D156" s="32"/>
      <c r="E156" s="69"/>
      <c r="F156" s="32"/>
      <c r="G156" s="69"/>
      <c r="H156" s="32"/>
      <c r="I156" s="69"/>
      <c r="J156" s="32"/>
      <c r="K156" s="69"/>
      <c r="L156" s="32"/>
      <c r="M156" s="76"/>
    </row>
    <row r="157" spans="1:13" ht="15.75" x14ac:dyDescent="0.3">
      <c r="A157" s="46" t="s">
        <v>32</v>
      </c>
      <c r="B157" s="32"/>
      <c r="C157" s="81">
        <f>SUM(C155+C149+C143+C138+C133+C126+C89+C82+C75+C72+C67+C59+C54)</f>
        <v>159416.79500000001</v>
      </c>
      <c r="D157" s="32"/>
      <c r="E157" s="81">
        <f>SUM(E155+E149+E143+E138+E133+E126+E89+E82+E75+E72+E67+E59+E54)</f>
        <v>258379.35000000003</v>
      </c>
      <c r="F157" s="32"/>
      <c r="G157" s="81">
        <f>SUM(G155+G149+G143+G138+G133+G126+G89+G82+G75+G72+G67+G59+G54)</f>
        <v>184309.57</v>
      </c>
      <c r="H157" s="32"/>
      <c r="I157" s="81">
        <f>SUM(I155+I149+I143+I138+I133+I126+I89+I82+I75+I72+I67+I59+I54)</f>
        <v>182918.89999999997</v>
      </c>
      <c r="J157" s="32"/>
      <c r="K157" s="81">
        <f>SUM(K155+K149+K143+K138+K133+K126+K89+K82+K75+K72+K67+K59+K54)</f>
        <v>215100.02000000002</v>
      </c>
      <c r="L157" s="32"/>
      <c r="M157" s="79">
        <f>SUM(M54+M59+M67+M72+M75+M82+M89+M126+M133+M138+M143+M149+M155)</f>
        <v>1000124.6350000001</v>
      </c>
    </row>
    <row r="158" spans="1:13" s="31" customFormat="1" ht="15.75" x14ac:dyDescent="0.3">
      <c r="A158" s="77"/>
      <c r="B158" s="32"/>
      <c r="C158" s="69"/>
      <c r="D158" s="32"/>
      <c r="E158" s="69"/>
      <c r="F158" s="32"/>
      <c r="G158" s="69"/>
      <c r="H158" s="32"/>
      <c r="I158" s="69"/>
      <c r="J158" s="32"/>
      <c r="K158" s="69"/>
      <c r="L158" s="32"/>
      <c r="M158" s="76"/>
    </row>
    <row r="159" spans="1:13" s="31" customFormat="1" ht="15.75" hidden="1" x14ac:dyDescent="0.3">
      <c r="A159" s="113" t="s">
        <v>176</v>
      </c>
      <c r="B159" s="32"/>
      <c r="C159" s="34"/>
      <c r="E159" s="34"/>
      <c r="G159" s="34"/>
      <c r="I159" s="34"/>
      <c r="K159" s="78"/>
      <c r="M159" s="76"/>
    </row>
    <row r="160" spans="1:13" s="31" customFormat="1" ht="15.75" hidden="1" x14ac:dyDescent="0.3">
      <c r="A160" s="114" t="s">
        <v>178</v>
      </c>
      <c r="B160" s="32"/>
      <c r="C160" s="34">
        <v>0</v>
      </c>
      <c r="E160" s="34">
        <v>0</v>
      </c>
      <c r="G160" s="34">
        <v>0</v>
      </c>
      <c r="I160" s="34">
        <f>1850</f>
        <v>1850</v>
      </c>
      <c r="K160" s="78">
        <f>13031.55+2000</f>
        <v>15031.55</v>
      </c>
      <c r="M160" s="76">
        <f>SUM(C160+E160+G160+I160+K160)</f>
        <v>16881.55</v>
      </c>
    </row>
    <row r="161" spans="1:13" s="31" customFormat="1" ht="15.75" hidden="1" x14ac:dyDescent="0.3">
      <c r="A161" s="114" t="s">
        <v>177</v>
      </c>
      <c r="B161" s="32"/>
      <c r="C161" s="34">
        <v>0</v>
      </c>
      <c r="E161" s="34">
        <v>0</v>
      </c>
      <c r="G161" s="34">
        <v>0</v>
      </c>
      <c r="I161" s="34">
        <v>0</v>
      </c>
      <c r="K161" s="78">
        <v>0</v>
      </c>
      <c r="M161" s="76">
        <f t="shared" ref="M161:M167" si="12">SUM(C161+E161+G161+I161+K161)</f>
        <v>0</v>
      </c>
    </row>
    <row r="162" spans="1:13" s="31" customFormat="1" ht="15.75" hidden="1" x14ac:dyDescent="0.3">
      <c r="A162" s="114" t="s">
        <v>228</v>
      </c>
      <c r="B162" s="32"/>
      <c r="C162" s="34">
        <v>2122.41</v>
      </c>
      <c r="E162" s="34">
        <v>0</v>
      </c>
      <c r="G162" s="34">
        <v>0</v>
      </c>
      <c r="I162" s="34">
        <v>0</v>
      </c>
      <c r="K162" s="78">
        <v>0</v>
      </c>
      <c r="M162" s="76">
        <f t="shared" si="12"/>
        <v>2122.41</v>
      </c>
    </row>
    <row r="163" spans="1:13" s="31" customFormat="1" ht="15.75" hidden="1" x14ac:dyDescent="0.3">
      <c r="A163" s="114" t="s">
        <v>192</v>
      </c>
      <c r="B163" s="32"/>
      <c r="C163" s="34">
        <f>7500</f>
        <v>7500</v>
      </c>
      <c r="E163" s="34">
        <v>0</v>
      </c>
      <c r="G163" s="34">
        <v>0</v>
      </c>
      <c r="I163" s="34">
        <v>0</v>
      </c>
      <c r="K163" s="78">
        <v>0</v>
      </c>
      <c r="M163" s="76">
        <f t="shared" si="12"/>
        <v>7500</v>
      </c>
    </row>
    <row r="164" spans="1:13" s="31" customFormat="1" ht="15.75" hidden="1" x14ac:dyDescent="0.3">
      <c r="A164" s="114" t="s">
        <v>184</v>
      </c>
      <c r="B164" s="32"/>
      <c r="C164" s="34">
        <f>150</f>
        <v>150</v>
      </c>
      <c r="E164" s="34">
        <v>0</v>
      </c>
      <c r="G164" s="34">
        <v>0</v>
      </c>
      <c r="I164" s="34">
        <v>0</v>
      </c>
      <c r="K164" s="78">
        <v>0</v>
      </c>
      <c r="M164" s="76">
        <f t="shared" si="12"/>
        <v>150</v>
      </c>
    </row>
    <row r="165" spans="1:13" s="31" customFormat="1" ht="15.75" hidden="1" x14ac:dyDescent="0.3">
      <c r="A165" s="114" t="s">
        <v>180</v>
      </c>
      <c r="B165" s="32"/>
      <c r="C165" s="34">
        <f>452+307</f>
        <v>759</v>
      </c>
      <c r="E165" s="34">
        <f>21.9</f>
        <v>21.9</v>
      </c>
      <c r="G165" s="34">
        <v>0</v>
      </c>
      <c r="I165" s="34">
        <v>0</v>
      </c>
      <c r="K165" s="78">
        <v>0</v>
      </c>
      <c r="M165" s="76">
        <f t="shared" si="12"/>
        <v>780.9</v>
      </c>
    </row>
    <row r="166" spans="1:13" s="31" customFormat="1" ht="15.75" hidden="1" x14ac:dyDescent="0.3">
      <c r="A166" s="114" t="s">
        <v>194</v>
      </c>
      <c r="B166" s="32"/>
      <c r="C166" s="34">
        <v>0</v>
      </c>
      <c r="E166" s="34">
        <f>149.87</f>
        <v>149.87</v>
      </c>
      <c r="G166" s="34">
        <v>0</v>
      </c>
      <c r="I166" s="34">
        <v>0</v>
      </c>
      <c r="K166" s="78">
        <v>0</v>
      </c>
      <c r="M166" s="76">
        <f t="shared" si="12"/>
        <v>149.87</v>
      </c>
    </row>
    <row r="167" spans="1:13" s="31" customFormat="1" ht="15.75" hidden="1" x14ac:dyDescent="0.3">
      <c r="A167" s="114" t="s">
        <v>203</v>
      </c>
      <c r="B167" s="32"/>
      <c r="C167" s="34">
        <v>0</v>
      </c>
      <c r="E167" s="34">
        <v>0</v>
      </c>
      <c r="G167" s="34">
        <v>0</v>
      </c>
      <c r="I167" s="34">
        <f>1426.35</f>
        <v>1426.35</v>
      </c>
      <c r="K167" s="78">
        <v>0</v>
      </c>
      <c r="M167" s="76">
        <f t="shared" si="12"/>
        <v>1426.35</v>
      </c>
    </row>
    <row r="168" spans="1:13" s="31" customFormat="1" ht="15.75" hidden="1" x14ac:dyDescent="0.3">
      <c r="A168" s="77" t="s">
        <v>32</v>
      </c>
      <c r="B168" s="32"/>
      <c r="C168" s="69">
        <f>SUM(C160:C167)</f>
        <v>10531.41</v>
      </c>
      <c r="D168" s="32"/>
      <c r="E168" s="69">
        <f>SUM(E160:E167)</f>
        <v>171.77</v>
      </c>
      <c r="F168" s="32"/>
      <c r="G168" s="69">
        <f>SUM(G160:G167)</f>
        <v>0</v>
      </c>
      <c r="H168" s="32"/>
      <c r="I168" s="69">
        <f>SUM(I160:I167)</f>
        <v>3276.35</v>
      </c>
      <c r="J168" s="32"/>
      <c r="K168" s="69">
        <f>SUM(K160:K167)</f>
        <v>15031.55</v>
      </c>
      <c r="L168" s="32"/>
      <c r="M168" s="76">
        <f>SUM(C168+E168+G168+I168+K168)</f>
        <v>29011.08</v>
      </c>
    </row>
    <row r="169" spans="1:13" s="31" customFormat="1" hidden="1" x14ac:dyDescent="0.25">
      <c r="K169" s="80"/>
    </row>
    <row r="170" spans="1:13" s="31" customFormat="1" ht="15.75" hidden="1" x14ac:dyDescent="0.3">
      <c r="A170" s="77" t="s">
        <v>32</v>
      </c>
      <c r="B170" s="32"/>
      <c r="C170" s="69">
        <f>SUM(C168+C155+C149+C143+C138+C133+C126+C89+C82+C75+C72+C67+C59+C54)</f>
        <v>169948.20500000002</v>
      </c>
      <c r="D170" s="32"/>
      <c r="E170" s="69">
        <f>SUM(E168+E155+E149+E143+E138+E133+E126+E89+E82+E75+E72+E67+E59+E54)</f>
        <v>258551.12000000002</v>
      </c>
      <c r="F170" s="32"/>
      <c r="G170" s="69">
        <f>SUM(G168+G155+G149+G143+G138+G133+G126+G89+G82+G75+G72+G67+G59+G54)</f>
        <v>184309.57</v>
      </c>
      <c r="H170" s="32"/>
      <c r="I170" s="69">
        <f>SUM(I168+I155+I149+I143+I138+I133+I126+I89+I82+I75+I72+I67+I59+I54)</f>
        <v>186195.24999999997</v>
      </c>
      <c r="J170" s="32"/>
      <c r="K170" s="69">
        <f>SUM(K168+K155+K149+K143+K138+K133+K126+K89+K82+K75+K72+K67+K59+K54)</f>
        <v>230131.57</v>
      </c>
      <c r="L170" s="32"/>
      <c r="M170" s="76">
        <f>SUM(M54+M59+M67+M72+M75+M82+M89+M126+M133+M138+M143+M149+M155+M168)</f>
        <v>1029135.7150000001</v>
      </c>
    </row>
    <row r="171" spans="1:13" s="31" customFormat="1" hidden="1" x14ac:dyDescent="0.25">
      <c r="K171" s="80"/>
    </row>
    <row r="172" spans="1:13" s="31" customFormat="1" hidden="1" x14ac:dyDescent="0.25">
      <c r="K172" s="80"/>
    </row>
  </sheetData>
  <mergeCells count="2">
    <mergeCell ref="C2:K2"/>
    <mergeCell ref="C3:K3"/>
  </mergeCells>
  <conditionalFormatting sqref="A53">
    <cfRule type="dataBar" priority="116">
      <dataBar>
        <cfvo type="min"/>
        <cfvo type="max"/>
        <color theme="0"/>
      </dataBar>
    </cfRule>
    <cfRule type="dataBar" priority="117">
      <dataBar>
        <cfvo type="min"/>
        <cfvo type="max"/>
        <color theme="0"/>
      </dataBar>
    </cfRule>
  </conditionalFormatting>
  <conditionalFormatting sqref="A94:A116">
    <cfRule type="dataBar" priority="110">
      <dataBar>
        <cfvo type="min"/>
        <cfvo type="max"/>
        <color theme="0"/>
      </dataBar>
    </cfRule>
    <cfRule type="dataBar" priority="111">
      <dataBar>
        <cfvo type="min"/>
        <cfvo type="max"/>
        <color theme="0"/>
      </dataBar>
    </cfRule>
  </conditionalFormatting>
  <conditionalFormatting sqref="A90">
    <cfRule type="dataBar" priority="108">
      <dataBar>
        <cfvo type="min"/>
        <cfvo type="max"/>
        <color theme="0"/>
      </dataBar>
    </cfRule>
    <cfRule type="dataBar" priority="109">
      <dataBar>
        <cfvo type="min"/>
        <cfvo type="max"/>
        <color theme="0"/>
      </dataBar>
    </cfRule>
  </conditionalFormatting>
  <conditionalFormatting sqref="A92">
    <cfRule type="dataBar" priority="106">
      <dataBar>
        <cfvo type="min"/>
        <cfvo type="max"/>
        <color theme="0"/>
      </dataBar>
    </cfRule>
    <cfRule type="dataBar" priority="107">
      <dataBar>
        <cfvo type="min"/>
        <cfvo type="max"/>
        <color theme="0"/>
      </dataBar>
    </cfRule>
  </conditionalFormatting>
  <conditionalFormatting sqref="A117">
    <cfRule type="dataBar" priority="104">
      <dataBar>
        <cfvo type="min"/>
        <cfvo type="max"/>
        <color theme="0"/>
      </dataBar>
    </cfRule>
    <cfRule type="dataBar" priority="105">
      <dataBar>
        <cfvo type="min"/>
        <cfvo type="max"/>
        <color theme="0"/>
      </dataBar>
    </cfRule>
  </conditionalFormatting>
  <conditionalFormatting sqref="A90:A117">
    <cfRule type="dataBar" priority="234">
      <dataBar>
        <cfvo type="min"/>
        <cfvo type="max"/>
        <color theme="0"/>
      </dataBar>
    </cfRule>
    <cfRule type="dataBar" priority="235">
      <dataBar>
        <cfvo type="min"/>
        <cfvo type="max"/>
        <color theme="0"/>
      </dataBar>
    </cfRule>
  </conditionalFormatting>
  <conditionalFormatting sqref="A93:A117">
    <cfRule type="dataBar" priority="236">
      <dataBar>
        <cfvo type="min"/>
        <cfvo type="max"/>
        <color theme="0"/>
      </dataBar>
    </cfRule>
    <cfRule type="dataBar" priority="237">
      <dataBar>
        <cfvo type="min"/>
        <cfvo type="max"/>
        <color theme="0"/>
      </dataBar>
    </cfRule>
  </conditionalFormatting>
  <conditionalFormatting sqref="A133:A134">
    <cfRule type="dataBar" priority="92">
      <dataBar>
        <cfvo type="min"/>
        <cfvo type="max"/>
        <color theme="0"/>
      </dataBar>
    </cfRule>
    <cfRule type="dataBar" priority="93">
      <dataBar>
        <cfvo type="min"/>
        <cfvo type="max"/>
        <color theme="0"/>
      </dataBar>
    </cfRule>
  </conditionalFormatting>
  <conditionalFormatting sqref="A133:A134">
    <cfRule type="dataBar" priority="89">
      <dataBar>
        <cfvo type="min"/>
        <cfvo type="max"/>
        <color rgb="FFFF555A"/>
      </dataBar>
    </cfRule>
    <cfRule type="iconSet" priority="90">
      <iconSet iconSet="4TrafficLights">
        <cfvo type="percent" val="0"/>
        <cfvo type="percent" val="25"/>
        <cfvo type="percent" val="50"/>
        <cfvo type="percent" val="75"/>
      </iconSet>
    </cfRule>
    <cfRule type="dataBar" priority="91">
      <dataBar>
        <cfvo type="min"/>
        <cfvo type="max"/>
        <color rgb="FF638EC6"/>
      </dataBar>
    </cfRule>
  </conditionalFormatting>
  <conditionalFormatting sqref="A139">
    <cfRule type="dataBar" priority="87">
      <dataBar>
        <cfvo type="min"/>
        <cfvo type="max"/>
        <color theme="0"/>
      </dataBar>
    </cfRule>
    <cfRule type="dataBar" priority="88">
      <dataBar>
        <cfvo type="min"/>
        <cfvo type="max"/>
        <color theme="0"/>
      </dataBar>
    </cfRule>
  </conditionalFormatting>
  <conditionalFormatting sqref="A139">
    <cfRule type="dataBar" priority="84">
      <dataBar>
        <cfvo type="min"/>
        <cfvo type="max"/>
        <color rgb="FFFF555A"/>
      </dataBar>
    </cfRule>
    <cfRule type="iconSet" priority="85">
      <iconSet iconSet="4TrafficLights">
        <cfvo type="percent" val="0"/>
        <cfvo type="percent" val="25"/>
        <cfvo type="percent" val="50"/>
        <cfvo type="percent" val="75"/>
      </iconSet>
    </cfRule>
    <cfRule type="dataBar" priority="86">
      <dataBar>
        <cfvo type="min"/>
        <cfvo type="max"/>
        <color rgb="FF638EC6"/>
      </dataBar>
    </cfRule>
  </conditionalFormatting>
  <conditionalFormatting sqref="A143:A145">
    <cfRule type="dataBar" priority="82">
      <dataBar>
        <cfvo type="min"/>
        <cfvo type="max"/>
        <color theme="0"/>
      </dataBar>
    </cfRule>
    <cfRule type="dataBar" priority="83">
      <dataBar>
        <cfvo type="min"/>
        <cfvo type="max"/>
        <color theme="0"/>
      </dataBar>
    </cfRule>
  </conditionalFormatting>
  <conditionalFormatting sqref="A143:A145">
    <cfRule type="dataBar" priority="79">
      <dataBar>
        <cfvo type="min"/>
        <cfvo type="max"/>
        <color rgb="FFFF555A"/>
      </dataBar>
    </cfRule>
    <cfRule type="iconSet" priority="80">
      <iconSet iconSet="4TrafficLights">
        <cfvo type="percent" val="0"/>
        <cfvo type="percent" val="25"/>
        <cfvo type="percent" val="50"/>
        <cfvo type="percent" val="75"/>
      </iconSet>
    </cfRule>
    <cfRule type="dataBar" priority="81">
      <dataBar>
        <cfvo type="min"/>
        <cfvo type="max"/>
        <color rgb="FF638EC6"/>
      </dataBar>
    </cfRule>
  </conditionalFormatting>
  <conditionalFormatting sqref="A144">
    <cfRule type="dataBar" priority="77">
      <dataBar>
        <cfvo type="min"/>
        <cfvo type="max"/>
        <color theme="0"/>
      </dataBar>
    </cfRule>
    <cfRule type="dataBar" priority="78">
      <dataBar>
        <cfvo type="min"/>
        <cfvo type="max"/>
        <color theme="0"/>
      </dataBar>
    </cfRule>
  </conditionalFormatting>
  <conditionalFormatting sqref="A144">
    <cfRule type="dataBar" priority="74">
      <dataBar>
        <cfvo type="min"/>
        <cfvo type="max"/>
        <color rgb="FFFF555A"/>
      </dataBar>
    </cfRule>
    <cfRule type="iconSet" priority="75">
      <iconSet iconSet="4TrafficLights">
        <cfvo type="percent" val="0"/>
        <cfvo type="percent" val="25"/>
        <cfvo type="percent" val="50"/>
        <cfvo type="percent" val="75"/>
      </iconSet>
    </cfRule>
    <cfRule type="dataBar" priority="76">
      <dataBar>
        <cfvo type="min"/>
        <cfvo type="max"/>
        <color rgb="FF638EC6"/>
      </dataBar>
    </cfRule>
  </conditionalFormatting>
  <conditionalFormatting sqref="A148">
    <cfRule type="dataBar" priority="68">
      <dataBar>
        <cfvo type="min"/>
        <cfvo type="max"/>
        <color theme="0"/>
      </dataBar>
    </cfRule>
    <cfRule type="dataBar" priority="69">
      <dataBar>
        <cfvo type="min"/>
        <cfvo type="max"/>
        <color theme="0"/>
      </dataBar>
    </cfRule>
  </conditionalFormatting>
  <conditionalFormatting sqref="A159">
    <cfRule type="dataBar" priority="46">
      <dataBar>
        <cfvo type="min"/>
        <cfvo type="max"/>
        <color theme="0"/>
      </dataBar>
    </cfRule>
    <cfRule type="dataBar" priority="47">
      <dataBar>
        <cfvo type="min"/>
        <cfvo type="max"/>
        <color theme="0"/>
      </dataBar>
    </cfRule>
  </conditionalFormatting>
  <conditionalFormatting sqref="A159">
    <cfRule type="dataBar" priority="43">
      <dataBar>
        <cfvo type="min"/>
        <cfvo type="max"/>
        <color rgb="FFFF555A"/>
      </dataBar>
    </cfRule>
    <cfRule type="iconSet" priority="44">
      <iconSet iconSet="4TrafficLights">
        <cfvo type="percent" val="0"/>
        <cfvo type="percent" val="25"/>
        <cfvo type="percent" val="50"/>
        <cfvo type="percent" val="75"/>
      </iconSet>
    </cfRule>
    <cfRule type="dataBar" priority="45">
      <dataBar>
        <cfvo type="min"/>
        <cfvo type="max"/>
        <color rgb="FF638EC6"/>
      </dataBar>
    </cfRule>
  </conditionalFormatting>
  <conditionalFormatting sqref="A9:A126">
    <cfRule type="dataBar" priority="365">
      <dataBar>
        <cfvo type="min"/>
        <cfvo type="max"/>
        <color theme="0"/>
      </dataBar>
    </cfRule>
    <cfRule type="dataBar" priority="366">
      <dataBar>
        <cfvo type="min"/>
        <cfvo type="max"/>
        <color theme="0"/>
      </dataBar>
    </cfRule>
  </conditionalFormatting>
  <conditionalFormatting sqref="A9:A126">
    <cfRule type="dataBar" priority="369">
      <dataBar>
        <cfvo type="min"/>
        <cfvo type="max"/>
        <color rgb="FFFF555A"/>
      </dataBar>
    </cfRule>
    <cfRule type="iconSet" priority="370">
      <iconSet iconSet="4TrafficLights">
        <cfvo type="percent" val="0"/>
        <cfvo type="percent" val="25"/>
        <cfvo type="percent" val="50"/>
        <cfvo type="percent" val="75"/>
      </iconSet>
    </cfRule>
    <cfRule type="dataBar" priority="371">
      <dataBar>
        <cfvo type="min"/>
        <cfvo type="max"/>
        <color rgb="FF638EC6"/>
      </dataBar>
    </cfRule>
  </conditionalFormatting>
  <conditionalFormatting sqref="A146">
    <cfRule type="dataBar" priority="416">
      <dataBar>
        <cfvo type="min"/>
        <cfvo type="max"/>
        <color theme="0"/>
      </dataBar>
    </cfRule>
    <cfRule type="dataBar" priority="417">
      <dataBar>
        <cfvo type="min"/>
        <cfvo type="max"/>
        <color theme="0"/>
      </dataBar>
    </cfRule>
  </conditionalFormatting>
  <conditionalFormatting sqref="A150:A154">
    <cfRule type="dataBar" priority="31">
      <dataBar>
        <cfvo type="min"/>
        <cfvo type="max"/>
        <color theme="0"/>
      </dataBar>
    </cfRule>
    <cfRule type="dataBar" priority="32">
      <dataBar>
        <cfvo type="min"/>
        <cfvo type="max"/>
        <color theme="0"/>
      </dataBar>
    </cfRule>
  </conditionalFormatting>
  <conditionalFormatting sqref="A149:A158">
    <cfRule type="dataBar" priority="432">
      <dataBar>
        <cfvo type="min"/>
        <cfvo type="max"/>
        <color theme="0"/>
      </dataBar>
    </cfRule>
    <cfRule type="dataBar" priority="433">
      <dataBar>
        <cfvo type="min"/>
        <cfvo type="max"/>
        <color theme="0"/>
      </dataBar>
    </cfRule>
  </conditionalFormatting>
  <conditionalFormatting sqref="A149:A158">
    <cfRule type="dataBar" priority="434">
      <dataBar>
        <cfvo type="min"/>
        <cfvo type="max"/>
        <color rgb="FFFF555A"/>
      </dataBar>
    </cfRule>
    <cfRule type="iconSet" priority="435">
      <iconSet iconSet="4TrafficLights">
        <cfvo type="percent" val="0"/>
        <cfvo type="percent" val="25"/>
        <cfvo type="percent" val="50"/>
        <cfvo type="percent" val="75"/>
      </iconSet>
    </cfRule>
    <cfRule type="dataBar" priority="436">
      <dataBar>
        <cfvo type="min"/>
        <cfvo type="max"/>
        <color rgb="FF638EC6"/>
      </dataBar>
    </cfRule>
  </conditionalFormatting>
  <conditionalFormatting sqref="A127:A158">
    <cfRule type="dataBar" priority="464">
      <dataBar>
        <cfvo type="min"/>
        <cfvo type="max"/>
        <color theme="0"/>
      </dataBar>
    </cfRule>
    <cfRule type="dataBar" priority="465">
      <dataBar>
        <cfvo type="min"/>
        <cfvo type="max"/>
        <color theme="0"/>
      </dataBar>
    </cfRule>
  </conditionalFormatting>
  <conditionalFormatting sqref="A127:A158">
    <cfRule type="dataBar" priority="466">
      <dataBar>
        <cfvo type="min"/>
        <cfvo type="max"/>
        <color rgb="FFFF555A"/>
      </dataBar>
    </cfRule>
    <cfRule type="iconSet" priority="467">
      <iconSet iconSet="4TrafficLights">
        <cfvo type="percent" val="0"/>
        <cfvo type="percent" val="25"/>
        <cfvo type="percent" val="50"/>
        <cfvo type="percent" val="75"/>
      </iconSet>
    </cfRule>
    <cfRule type="dataBar" priority="468">
      <dataBar>
        <cfvo type="min"/>
        <cfvo type="max"/>
        <color rgb="FF638EC6"/>
      </dataBar>
    </cfRule>
  </conditionalFormatting>
  <conditionalFormatting sqref="A159:A167">
    <cfRule type="dataBar" priority="567">
      <dataBar>
        <cfvo type="min"/>
        <cfvo type="max"/>
        <color theme="0"/>
      </dataBar>
    </cfRule>
    <cfRule type="dataBar" priority="568">
      <dataBar>
        <cfvo type="min"/>
        <cfvo type="max"/>
        <color theme="0"/>
      </dataBar>
    </cfRule>
  </conditionalFormatting>
  <conditionalFormatting sqref="A168">
    <cfRule type="dataBar" priority="29">
      <dataBar>
        <cfvo type="min"/>
        <cfvo type="max"/>
        <color theme="0"/>
      </dataBar>
    </cfRule>
    <cfRule type="dataBar" priority="30">
      <dataBar>
        <cfvo type="min"/>
        <cfvo type="max"/>
        <color theme="0"/>
      </dataBar>
    </cfRule>
  </conditionalFormatting>
  <conditionalFormatting sqref="A168">
    <cfRule type="dataBar" priority="26">
      <dataBar>
        <cfvo type="min"/>
        <cfvo type="max"/>
        <color rgb="FFFF555A"/>
      </dataBar>
    </cfRule>
    <cfRule type="iconSet" priority="27">
      <iconSet iconSet="4TrafficLights">
        <cfvo type="percent" val="0"/>
        <cfvo type="percent" val="25"/>
        <cfvo type="percent" val="50"/>
        <cfvo type="percent" val="75"/>
      </iconSet>
    </cfRule>
    <cfRule type="dataBar" priority="28">
      <dataBar>
        <cfvo type="min"/>
        <cfvo type="max"/>
        <color rgb="FF638EC6"/>
      </dataBar>
    </cfRule>
  </conditionalFormatting>
  <conditionalFormatting sqref="A168">
    <cfRule type="dataBar" priority="24">
      <dataBar>
        <cfvo type="min"/>
        <cfvo type="max"/>
        <color theme="0"/>
      </dataBar>
    </cfRule>
    <cfRule type="dataBar" priority="25">
      <dataBar>
        <cfvo type="min"/>
        <cfvo type="max"/>
        <color theme="0"/>
      </dataBar>
    </cfRule>
  </conditionalFormatting>
  <conditionalFormatting sqref="A168">
    <cfRule type="dataBar" priority="21">
      <dataBar>
        <cfvo type="min"/>
        <cfvo type="max"/>
        <color rgb="FFFF555A"/>
      </dataBar>
    </cfRule>
    <cfRule type="iconSet" priority="22">
      <iconSet iconSet="4TrafficLights">
        <cfvo type="percent" val="0"/>
        <cfvo type="percent" val="25"/>
        <cfvo type="percent" val="50"/>
        <cfvo type="percent" val="75"/>
      </iconSet>
    </cfRule>
    <cfRule type="dataBar" priority="23">
      <dataBar>
        <cfvo type="min"/>
        <cfvo type="max"/>
        <color rgb="FF638EC6"/>
      </dataBar>
    </cfRule>
  </conditionalFormatting>
  <conditionalFormatting sqref="A170">
    <cfRule type="dataBar" priority="19">
      <dataBar>
        <cfvo type="min"/>
        <cfvo type="max"/>
        <color theme="0"/>
      </dataBar>
    </cfRule>
    <cfRule type="dataBar" priority="20">
      <dataBar>
        <cfvo type="min"/>
        <cfvo type="max"/>
        <color theme="0"/>
      </dataBar>
    </cfRule>
  </conditionalFormatting>
  <conditionalFormatting sqref="A170">
    <cfRule type="dataBar" priority="16">
      <dataBar>
        <cfvo type="min"/>
        <cfvo type="max"/>
        <color rgb="FFFF555A"/>
      </dataBar>
    </cfRule>
    <cfRule type="iconSet" priority="17">
      <iconSet iconSet="4TrafficLights">
        <cfvo type="percent" val="0"/>
        <cfvo type="percent" val="25"/>
        <cfvo type="percent" val="50"/>
        <cfvo type="percent" val="75"/>
      </iconSet>
    </cfRule>
    <cfRule type="dataBar" priority="18">
      <dataBar>
        <cfvo type="min"/>
        <cfvo type="max"/>
        <color rgb="FF638EC6"/>
      </dataBar>
    </cfRule>
  </conditionalFormatting>
  <conditionalFormatting sqref="A170">
    <cfRule type="dataBar" priority="14">
      <dataBar>
        <cfvo type="min"/>
        <cfvo type="max"/>
        <color theme="0"/>
      </dataBar>
    </cfRule>
    <cfRule type="dataBar" priority="15">
      <dataBar>
        <cfvo type="min"/>
        <cfvo type="max"/>
        <color theme="0"/>
      </dataBar>
    </cfRule>
  </conditionalFormatting>
  <conditionalFormatting sqref="A170">
    <cfRule type="dataBar" priority="11">
      <dataBar>
        <cfvo type="min"/>
        <cfvo type="max"/>
        <color rgb="FFFF555A"/>
      </dataBar>
    </cfRule>
    <cfRule type="iconSet" priority="12">
      <iconSet iconSet="4TrafficLights">
        <cfvo type="percent" val="0"/>
        <cfvo type="percent" val="25"/>
        <cfvo type="percent" val="50"/>
        <cfvo type="percent" val="75"/>
      </iconSet>
    </cfRule>
    <cfRule type="dataBar" priority="13">
      <dataBar>
        <cfvo type="min"/>
        <cfvo type="max"/>
        <color rgb="FF638EC6"/>
      </dataBar>
    </cfRule>
  </conditionalFormatting>
  <conditionalFormatting sqref="A157:A158">
    <cfRule type="dataBar" priority="9">
      <dataBar>
        <cfvo type="min"/>
        <cfvo type="max"/>
        <color theme="0"/>
      </dataBar>
    </cfRule>
    <cfRule type="dataBar" priority="10">
      <dataBar>
        <cfvo type="min"/>
        <cfvo type="max"/>
        <color theme="0"/>
      </dataBar>
    </cfRule>
  </conditionalFormatting>
  <conditionalFormatting sqref="A157:A158">
    <cfRule type="dataBar" priority="6">
      <dataBar>
        <cfvo type="min"/>
        <cfvo type="max"/>
        <color rgb="FFFF555A"/>
      </dataBar>
    </cfRule>
    <cfRule type="iconSet" priority="7">
      <iconSet iconSet="4TrafficLights">
        <cfvo type="percent" val="0"/>
        <cfvo type="percent" val="25"/>
        <cfvo type="percent" val="50"/>
        <cfvo type="percent" val="75"/>
      </iconSet>
    </cfRule>
    <cfRule type="dataBar" priority="8">
      <dataBar>
        <cfvo type="min"/>
        <cfvo type="max"/>
        <color rgb="FF638EC6"/>
      </dataBar>
    </cfRule>
  </conditionalFormatting>
  <conditionalFormatting sqref="A157:A158">
    <cfRule type="dataBar" priority="4">
      <dataBar>
        <cfvo type="min"/>
        <cfvo type="max"/>
        <color theme="0"/>
      </dataBar>
    </cfRule>
    <cfRule type="dataBar" priority="5">
      <dataBar>
        <cfvo type="min"/>
        <cfvo type="max"/>
        <color theme="0"/>
      </dataBar>
    </cfRule>
  </conditionalFormatting>
  <conditionalFormatting sqref="A157:A158">
    <cfRule type="dataBar" priority="1">
      <dataBar>
        <cfvo type="min"/>
        <cfvo type="max"/>
        <color rgb="FFFF555A"/>
      </dataBar>
    </cfRule>
    <cfRule type="iconSet" priority="2">
      <iconSet iconSet="4TrafficLights">
        <cfvo type="percent" val="0"/>
        <cfvo type="percent" val="25"/>
        <cfvo type="percent" val="50"/>
        <cfvo type="percent" val="75"/>
      </iconSet>
    </cfRule>
    <cfRule type="dataBar" priority="3">
      <dataBar>
        <cfvo type="min"/>
        <cfvo type="max"/>
        <color rgb="FF638EC6"/>
      </dataBar>
    </cfRule>
  </conditionalFormatting>
  <pageMargins left="0" right="0" top="0" bottom="0" header="0.31496062992125984" footer="0.31496062992125984"/>
  <pageSetup paperSize="9" scale="75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P28"/>
  <sheetViews>
    <sheetView topLeftCell="A4" zoomScale="91" zoomScaleNormal="91" workbookViewId="0">
      <selection activeCell="V19" sqref="V19"/>
    </sheetView>
  </sheetViews>
  <sheetFormatPr defaultRowHeight="15" x14ac:dyDescent="0.25"/>
  <cols>
    <col min="1" max="1" width="16.42578125" bestFit="1" customWidth="1"/>
    <col min="2" max="2" width="7.7109375" bestFit="1" customWidth="1"/>
    <col min="3" max="3" width="3.85546875" customWidth="1"/>
    <col min="4" max="4" width="18.28515625" customWidth="1"/>
    <col min="5" max="5" width="0.7109375" style="31" customWidth="1"/>
    <col min="6" max="6" width="7.42578125" style="31" customWidth="1"/>
    <col min="7" max="7" width="17.85546875" customWidth="1"/>
    <col min="8" max="8" width="5.7109375" style="31" customWidth="1"/>
    <col min="9" max="9" width="17.28515625" customWidth="1"/>
    <col min="10" max="10" width="0.85546875" style="31" customWidth="1"/>
    <col min="11" max="11" width="19.28515625" customWidth="1"/>
    <col min="12" max="12" width="0.7109375" style="31" customWidth="1"/>
  </cols>
  <sheetData>
    <row r="2" spans="1:16" ht="31.5" customHeight="1" x14ac:dyDescent="0.5">
      <c r="B2" s="305" t="s">
        <v>50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</row>
    <row r="3" spans="1:16" ht="23.25" x14ac:dyDescent="0.35">
      <c r="B3" s="306" t="s">
        <v>51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</row>
    <row r="5" spans="1:16" s="4" customFormat="1" x14ac:dyDescent="0.25">
      <c r="D5" s="36" t="s">
        <v>56</v>
      </c>
      <c r="E5" s="32"/>
      <c r="F5" s="32"/>
      <c r="G5" s="36" t="s">
        <v>57</v>
      </c>
      <c r="H5" s="32"/>
      <c r="I5" s="36" t="s">
        <v>58</v>
      </c>
      <c r="J5" s="32"/>
      <c r="K5" s="3"/>
      <c r="L5" s="32"/>
    </row>
    <row r="6" spans="1:16" s="3" customFormat="1" x14ac:dyDescent="0.25">
      <c r="D6" s="3">
        <v>610779753</v>
      </c>
      <c r="E6" s="33"/>
      <c r="F6" s="33"/>
      <c r="G6" s="3">
        <v>611302438</v>
      </c>
      <c r="H6" s="33"/>
      <c r="I6" s="3">
        <v>613390199</v>
      </c>
      <c r="J6" s="33"/>
      <c r="L6" s="33"/>
    </row>
    <row r="7" spans="1:16" s="3" customFormat="1" x14ac:dyDescent="0.25">
      <c r="E7" s="33"/>
      <c r="F7" s="33"/>
      <c r="H7" s="33"/>
      <c r="J7" s="33"/>
      <c r="K7" s="37" t="s">
        <v>32</v>
      </c>
      <c r="L7" s="33"/>
    </row>
    <row r="8" spans="1:16" s="2" customFormat="1" x14ac:dyDescent="0.25">
      <c r="B8" s="3" t="s">
        <v>38</v>
      </c>
      <c r="D8" s="1">
        <v>0</v>
      </c>
      <c r="E8" s="34"/>
      <c r="F8" s="34"/>
      <c r="G8" s="1">
        <v>0</v>
      </c>
      <c r="H8" s="34"/>
      <c r="I8" s="1">
        <v>0</v>
      </c>
      <c r="J8" s="34"/>
      <c r="K8" s="1">
        <f>SUM(D8:I8)</f>
        <v>0</v>
      </c>
      <c r="L8" s="34"/>
    </row>
    <row r="9" spans="1:16" x14ac:dyDescent="0.25">
      <c r="B9" s="3" t="s">
        <v>39</v>
      </c>
      <c r="D9" s="1">
        <f>SUM(D28)</f>
        <v>3354.9700000000003</v>
      </c>
      <c r="E9" s="34"/>
      <c r="F9" s="34"/>
      <c r="G9" s="1">
        <f>SUM(G28)</f>
        <v>3042.7700000000004</v>
      </c>
      <c r="H9" s="34"/>
      <c r="I9" s="1">
        <f>SUM(I28)</f>
        <v>1007.35</v>
      </c>
      <c r="J9" s="34"/>
      <c r="K9" s="1">
        <f>SUM(D9:I9)</f>
        <v>7405.0900000000011</v>
      </c>
      <c r="L9" s="34"/>
    </row>
    <row r="10" spans="1:16" s="8" customFormat="1" ht="12.75" customHeight="1" x14ac:dyDescent="0.25">
      <c r="A10" s="37" t="s">
        <v>59</v>
      </c>
      <c r="D10" s="28">
        <f>SUM(D8-D9)</f>
        <v>-3354.9700000000003</v>
      </c>
      <c r="E10" s="35"/>
      <c r="F10" s="35"/>
      <c r="G10" s="28">
        <f>SUM(G8-G9)</f>
        <v>-3042.7700000000004</v>
      </c>
      <c r="H10" s="35"/>
      <c r="I10" s="28">
        <f>SUM(I8-I9)</f>
        <v>-1007.35</v>
      </c>
      <c r="J10" s="35"/>
      <c r="K10" s="28">
        <f>SUM(K8-K9)</f>
        <v>-7405.0900000000011</v>
      </c>
      <c r="L10" s="35"/>
    </row>
    <row r="11" spans="1:16" x14ac:dyDescent="0.25">
      <c r="A11" s="20">
        <v>6021020</v>
      </c>
      <c r="B11" s="29" t="s">
        <v>22</v>
      </c>
      <c r="D11" s="1">
        <v>0</v>
      </c>
      <c r="G11" s="1">
        <v>0</v>
      </c>
      <c r="H11" s="31" t="s">
        <v>202</v>
      </c>
      <c r="I11" s="1">
        <v>501.17</v>
      </c>
      <c r="K11" s="1">
        <f>SUM(D11:I11)</f>
        <v>501.17</v>
      </c>
    </row>
    <row r="12" spans="1:16" x14ac:dyDescent="0.25">
      <c r="A12" s="38">
        <v>6021020</v>
      </c>
      <c r="B12" s="29" t="s">
        <v>23</v>
      </c>
      <c r="D12" s="1">
        <v>0</v>
      </c>
      <c r="G12" s="1">
        <v>0</v>
      </c>
      <c r="I12" s="40">
        <v>506.18</v>
      </c>
      <c r="K12" s="1">
        <f t="shared" ref="K12:K26" si="0">SUM(D12:I12)</f>
        <v>506.18</v>
      </c>
    </row>
    <row r="13" spans="1:16" x14ac:dyDescent="0.25">
      <c r="A13" s="38">
        <v>6021020</v>
      </c>
      <c r="B13" s="29" t="s">
        <v>24</v>
      </c>
      <c r="D13" s="1">
        <v>0</v>
      </c>
      <c r="G13" s="1">
        <v>0</v>
      </c>
      <c r="I13" s="1">
        <v>0</v>
      </c>
      <c r="K13" s="1">
        <f t="shared" si="0"/>
        <v>0</v>
      </c>
    </row>
    <row r="14" spans="1:16" x14ac:dyDescent="0.25">
      <c r="A14" s="38">
        <v>6021020</v>
      </c>
      <c r="B14" s="29" t="s">
        <v>25</v>
      </c>
      <c r="D14" s="1">
        <v>0</v>
      </c>
      <c r="G14" s="1">
        <v>0</v>
      </c>
      <c r="I14" s="1">
        <v>0</v>
      </c>
      <c r="K14" s="1">
        <f t="shared" si="0"/>
        <v>0</v>
      </c>
    </row>
    <row r="15" spans="1:16" x14ac:dyDescent="0.25">
      <c r="A15" s="38">
        <v>6021020</v>
      </c>
      <c r="B15" s="29" t="s">
        <v>26</v>
      </c>
      <c r="D15" s="1">
        <v>0</v>
      </c>
      <c r="G15" s="1">
        <v>0</v>
      </c>
      <c r="I15" s="1">
        <v>0</v>
      </c>
      <c r="K15" s="1">
        <f t="shared" si="0"/>
        <v>0</v>
      </c>
    </row>
    <row r="16" spans="1:16" x14ac:dyDescent="0.25">
      <c r="A16" s="38">
        <v>6021020</v>
      </c>
      <c r="B16" s="29" t="s">
        <v>27</v>
      </c>
      <c r="D16" s="1">
        <v>0</v>
      </c>
      <c r="G16" s="1">
        <v>0</v>
      </c>
      <c r="I16" s="1">
        <v>0</v>
      </c>
      <c r="K16" s="1">
        <f t="shared" si="0"/>
        <v>0</v>
      </c>
    </row>
    <row r="17" spans="1:12" x14ac:dyDescent="0.25">
      <c r="A17" s="38">
        <v>6021020</v>
      </c>
      <c r="B17" s="29" t="s">
        <v>28</v>
      </c>
      <c r="D17" s="1">
        <v>0</v>
      </c>
      <c r="G17" s="1">
        <v>0</v>
      </c>
      <c r="I17" s="1">
        <v>0</v>
      </c>
      <c r="K17" s="1">
        <f t="shared" si="0"/>
        <v>0</v>
      </c>
    </row>
    <row r="18" spans="1:12" x14ac:dyDescent="0.25">
      <c r="A18" s="38">
        <v>6021020</v>
      </c>
      <c r="B18" s="29" t="s">
        <v>29</v>
      </c>
      <c r="D18" s="1">
        <v>0</v>
      </c>
      <c r="G18" s="1">
        <v>0</v>
      </c>
      <c r="I18" s="1">
        <v>0</v>
      </c>
      <c r="K18" s="1">
        <f t="shared" si="0"/>
        <v>0</v>
      </c>
    </row>
    <row r="19" spans="1:12" x14ac:dyDescent="0.25">
      <c r="A19" s="38">
        <v>6021020</v>
      </c>
      <c r="B19" s="29" t="s">
        <v>30</v>
      </c>
      <c r="D19" s="1">
        <v>0</v>
      </c>
      <c r="G19" s="1">
        <v>0</v>
      </c>
      <c r="I19" s="1">
        <v>0</v>
      </c>
      <c r="K19" s="1">
        <f t="shared" si="0"/>
        <v>0</v>
      </c>
    </row>
    <row r="20" spans="1:12" x14ac:dyDescent="0.25">
      <c r="A20" s="38">
        <v>6021020</v>
      </c>
      <c r="B20" s="29" t="s">
        <v>31</v>
      </c>
      <c r="D20" s="1">
        <v>0</v>
      </c>
      <c r="F20" t="s">
        <v>189</v>
      </c>
      <c r="G20" s="1">
        <v>602.49</v>
      </c>
      <c r="I20" s="1">
        <v>0</v>
      </c>
      <c r="K20" s="1">
        <f t="shared" si="0"/>
        <v>602.49</v>
      </c>
    </row>
    <row r="21" spans="1:12" x14ac:dyDescent="0.25">
      <c r="A21" s="38">
        <v>6021020</v>
      </c>
      <c r="B21" s="29" t="s">
        <v>36</v>
      </c>
      <c r="C21" t="s">
        <v>187</v>
      </c>
      <c r="D21" s="1">
        <f>547.38</f>
        <v>547.38</v>
      </c>
      <c r="F21" t="s">
        <v>189</v>
      </c>
      <c r="G21" s="1">
        <v>602.49</v>
      </c>
      <c r="I21" s="1">
        <v>0</v>
      </c>
      <c r="K21" s="1">
        <f t="shared" si="0"/>
        <v>1149.8699999999999</v>
      </c>
    </row>
    <row r="22" spans="1:12" x14ac:dyDescent="0.25">
      <c r="A22" s="38">
        <v>6021020</v>
      </c>
      <c r="B22" s="29" t="s">
        <v>37</v>
      </c>
      <c r="C22" t="s">
        <v>187</v>
      </c>
      <c r="D22" s="1">
        <f>552.21</f>
        <v>552.21</v>
      </c>
      <c r="F22" s="31" t="s">
        <v>190</v>
      </c>
      <c r="G22" s="1">
        <v>607.02</v>
      </c>
      <c r="I22" s="1">
        <v>0</v>
      </c>
      <c r="K22" s="1">
        <f t="shared" si="0"/>
        <v>1159.23</v>
      </c>
    </row>
    <row r="23" spans="1:12" x14ac:dyDescent="0.25">
      <c r="A23" s="38">
        <v>6021020</v>
      </c>
      <c r="B23" s="29" t="s">
        <v>52</v>
      </c>
      <c r="C23" t="s">
        <v>189</v>
      </c>
      <c r="D23" s="1">
        <f>556.94</f>
        <v>556.94000000000005</v>
      </c>
      <c r="F23" s="31" t="s">
        <v>202</v>
      </c>
      <c r="G23" s="1">
        <v>612.76</v>
      </c>
      <c r="I23" s="1">
        <v>0</v>
      </c>
      <c r="K23" s="1">
        <f t="shared" si="0"/>
        <v>1169.7</v>
      </c>
    </row>
    <row r="24" spans="1:12" x14ac:dyDescent="0.25">
      <c r="A24" s="38">
        <v>6021020</v>
      </c>
      <c r="B24" s="29" t="s">
        <v>53</v>
      </c>
      <c r="C24" t="s">
        <v>190</v>
      </c>
      <c r="D24" s="1">
        <v>561.05999999999995</v>
      </c>
      <c r="G24" s="40">
        <v>618.01</v>
      </c>
      <c r="I24" s="1">
        <v>0</v>
      </c>
      <c r="K24" s="1">
        <f t="shared" si="0"/>
        <v>1179.07</v>
      </c>
    </row>
    <row r="25" spans="1:12" x14ac:dyDescent="0.25">
      <c r="A25" s="38">
        <v>6021020</v>
      </c>
      <c r="B25" s="29" t="s">
        <v>54</v>
      </c>
      <c r="C25" t="s">
        <v>191</v>
      </c>
      <c r="D25" s="1">
        <v>566.29999999999995</v>
      </c>
      <c r="G25" s="1">
        <v>0</v>
      </c>
      <c r="I25" s="1">
        <v>0</v>
      </c>
      <c r="K25" s="1">
        <f t="shared" si="0"/>
        <v>566.29999999999995</v>
      </c>
    </row>
    <row r="26" spans="1:12" x14ac:dyDescent="0.25">
      <c r="A26" s="38">
        <v>6021020</v>
      </c>
      <c r="B26" s="29" t="s">
        <v>55</v>
      </c>
      <c r="C26" t="s">
        <v>188</v>
      </c>
      <c r="D26" s="1">
        <v>571.08000000000004</v>
      </c>
      <c r="G26" s="1">
        <v>0</v>
      </c>
      <c r="I26" s="1">
        <v>0</v>
      </c>
      <c r="K26" s="1">
        <f t="shared" si="0"/>
        <v>571.08000000000004</v>
      </c>
    </row>
    <row r="27" spans="1:12" ht="6.75" customHeight="1" x14ac:dyDescent="0.25">
      <c r="B27" s="4"/>
      <c r="D27" s="30"/>
      <c r="G27" s="30"/>
      <c r="I27" s="30"/>
      <c r="K27" s="30"/>
    </row>
    <row r="28" spans="1:12" s="4" customFormat="1" x14ac:dyDescent="0.25">
      <c r="A28" s="27"/>
      <c r="B28" s="3" t="s">
        <v>32</v>
      </c>
      <c r="D28" s="14">
        <f>SUM(D11:D26)</f>
        <v>3354.9700000000003</v>
      </c>
      <c r="E28" s="32"/>
      <c r="F28" s="32"/>
      <c r="G28" s="14">
        <f>SUM(G11:G26)</f>
        <v>3042.7700000000004</v>
      </c>
      <c r="H28" s="32"/>
      <c r="I28" s="14">
        <f>SUM(I11:I26)</f>
        <v>1007.35</v>
      </c>
      <c r="J28" s="32"/>
      <c r="K28" s="14">
        <f>SUM(D28:I28)</f>
        <v>7405.0900000000011</v>
      </c>
      <c r="L28" s="32"/>
    </row>
  </sheetData>
  <mergeCells count="2">
    <mergeCell ref="B2:P2"/>
    <mergeCell ref="B3:P3"/>
  </mergeCells>
  <pageMargins left="0" right="0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48"/>
  <sheetViews>
    <sheetView topLeftCell="A34" zoomScale="91" zoomScaleNormal="91" workbookViewId="0">
      <selection activeCell="E19" sqref="E19"/>
    </sheetView>
  </sheetViews>
  <sheetFormatPr defaultRowHeight="15" x14ac:dyDescent="0.25"/>
  <cols>
    <col min="1" max="1" width="29.28515625" customWidth="1"/>
    <col min="2" max="2" width="1.42578125" customWidth="1"/>
    <col min="3" max="3" width="13.7109375" hidden="1" customWidth="1"/>
    <col min="4" max="4" width="0.7109375" style="31" hidden="1" customWidth="1"/>
    <col min="5" max="5" width="13.7109375" hidden="1" customWidth="1"/>
    <col min="6" max="6" width="0.85546875" style="31" customWidth="1"/>
    <col min="7" max="7" width="18.140625" bestFit="1" customWidth="1"/>
    <col min="8" max="8" width="0.85546875" style="31" customWidth="1"/>
    <col min="9" max="9" width="18.140625" bestFit="1" customWidth="1"/>
    <col min="10" max="10" width="0.85546875" style="31" customWidth="1"/>
    <col min="11" max="11" width="18.140625" bestFit="1" customWidth="1"/>
    <col min="12" max="12" width="1" style="31" customWidth="1"/>
    <col min="13" max="13" width="16.5703125" hidden="1" customWidth="1"/>
    <col min="14" max="14" width="0.85546875" style="31" hidden="1" customWidth="1"/>
    <col min="15" max="15" width="19.28515625" customWidth="1"/>
    <col min="16" max="16" width="0.7109375" style="31" customWidth="1"/>
  </cols>
  <sheetData>
    <row r="1" spans="1:20" ht="31.5" customHeight="1" x14ac:dyDescent="0.5">
      <c r="A1" s="305" t="s">
        <v>236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64"/>
      <c r="Q1" s="64"/>
      <c r="R1" s="64"/>
      <c r="S1" s="64"/>
      <c r="T1" s="64"/>
    </row>
    <row r="2" spans="1:20" ht="23.25" x14ac:dyDescent="0.35">
      <c r="A2" s="306" t="s">
        <v>137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65"/>
      <c r="Q2" s="65"/>
      <c r="R2" s="65"/>
      <c r="S2" s="65"/>
      <c r="T2" s="65"/>
    </row>
    <row r="3" spans="1:20" ht="16.5" x14ac:dyDescent="0.3">
      <c r="A3" s="98"/>
      <c r="B3" s="98"/>
      <c r="C3" s="98"/>
      <c r="D3" s="96"/>
      <c r="E3" s="98"/>
      <c r="F3" s="96"/>
      <c r="G3" s="98"/>
      <c r="H3" s="96"/>
      <c r="I3" s="98"/>
      <c r="J3" s="96"/>
      <c r="K3" s="98"/>
      <c r="L3" s="96"/>
      <c r="M3" s="98"/>
      <c r="N3" s="96"/>
      <c r="O3" s="98"/>
      <c r="P3" s="96"/>
    </row>
    <row r="4" spans="1:20" s="4" customFormat="1" ht="18" x14ac:dyDescent="0.35">
      <c r="A4" s="99"/>
      <c r="B4" s="99"/>
      <c r="C4" s="107" t="s">
        <v>106</v>
      </c>
      <c r="D4" s="103"/>
      <c r="E4" s="107" t="s">
        <v>120</v>
      </c>
      <c r="F4" s="103"/>
      <c r="G4" s="107" t="s">
        <v>108</v>
      </c>
      <c r="H4" s="103"/>
      <c r="I4" s="107" t="s">
        <v>109</v>
      </c>
      <c r="J4" s="103"/>
      <c r="K4" s="107" t="s">
        <v>110</v>
      </c>
      <c r="L4" s="103"/>
      <c r="M4" s="107" t="s">
        <v>138</v>
      </c>
      <c r="N4" s="103"/>
      <c r="O4" s="107" t="s">
        <v>32</v>
      </c>
      <c r="P4" s="103"/>
    </row>
    <row r="5" spans="1:20" s="3" customFormat="1" ht="18" x14ac:dyDescent="0.35">
      <c r="A5" s="90"/>
      <c r="B5" s="90"/>
      <c r="C5" s="90">
        <v>2015</v>
      </c>
      <c r="D5" s="108"/>
      <c r="E5" s="90">
        <v>2015</v>
      </c>
      <c r="F5" s="108"/>
      <c r="G5" s="90">
        <v>2015</v>
      </c>
      <c r="H5" s="108"/>
      <c r="I5" s="90">
        <v>2015</v>
      </c>
      <c r="J5" s="108"/>
      <c r="K5" s="90">
        <v>2015</v>
      </c>
      <c r="L5" s="108"/>
      <c r="M5" s="90">
        <v>2015</v>
      </c>
      <c r="N5" s="108"/>
      <c r="O5" s="90"/>
      <c r="P5" s="108"/>
    </row>
    <row r="6" spans="1:20" s="8" customFormat="1" ht="12.75" customHeight="1" x14ac:dyDescent="0.35">
      <c r="A6" s="109"/>
      <c r="B6" s="110"/>
      <c r="C6" s="111"/>
      <c r="D6" s="112"/>
      <c r="E6" s="111"/>
      <c r="F6" s="112"/>
      <c r="G6" s="111"/>
      <c r="H6" s="112"/>
      <c r="I6" s="111"/>
      <c r="J6" s="112"/>
      <c r="K6" s="111"/>
      <c r="L6" s="112"/>
      <c r="M6" s="111"/>
      <c r="N6" s="112"/>
      <c r="O6" s="111"/>
      <c r="P6" s="112"/>
    </row>
    <row r="7" spans="1:20" ht="18" x14ac:dyDescent="0.35">
      <c r="A7" s="88" t="s">
        <v>135</v>
      </c>
      <c r="B7" s="94"/>
      <c r="C7" s="95">
        <v>0</v>
      </c>
      <c r="D7" s="96"/>
      <c r="E7" s="95">
        <v>0</v>
      </c>
      <c r="F7" s="96"/>
      <c r="G7" s="95">
        <v>0</v>
      </c>
      <c r="H7" s="96"/>
      <c r="I7" s="95">
        <v>6806.87</v>
      </c>
      <c r="J7" s="96"/>
      <c r="K7" s="95">
        <v>0</v>
      </c>
      <c r="L7" s="96"/>
      <c r="M7" s="95">
        <v>0</v>
      </c>
      <c r="N7" s="96"/>
      <c r="O7" s="95">
        <f>SUM(C7+E7+G7+I7+K7+M7)</f>
        <v>6806.87</v>
      </c>
      <c r="P7" s="96"/>
      <c r="Q7" s="62"/>
    </row>
    <row r="8" spans="1:20" ht="18" x14ac:dyDescent="0.35">
      <c r="A8" s="88" t="s">
        <v>134</v>
      </c>
      <c r="B8" s="94"/>
      <c r="C8" s="95">
        <v>0</v>
      </c>
      <c r="D8" s="96"/>
      <c r="E8" s="95">
        <v>0</v>
      </c>
      <c r="F8" s="96"/>
      <c r="G8" s="95">
        <v>0</v>
      </c>
      <c r="H8" s="96"/>
      <c r="I8" s="95">
        <v>5240.1000000000004</v>
      </c>
      <c r="J8" s="96"/>
      <c r="K8" s="95">
        <v>0</v>
      </c>
      <c r="L8" s="96"/>
      <c r="M8" s="95">
        <v>0</v>
      </c>
      <c r="N8" s="96"/>
      <c r="O8" s="95">
        <f t="shared" ref="O8:O13" si="0">SUM(C8+E8+G8+I8+K8+M8)</f>
        <v>5240.1000000000004</v>
      </c>
      <c r="P8" s="96"/>
      <c r="Q8" s="62"/>
    </row>
    <row r="9" spans="1:20" ht="18" x14ac:dyDescent="0.35">
      <c r="A9" s="88" t="s">
        <v>130</v>
      </c>
      <c r="B9" s="94"/>
      <c r="C9" s="95">
        <v>0</v>
      </c>
      <c r="D9" s="96"/>
      <c r="E9" s="95">
        <v>0</v>
      </c>
      <c r="F9" s="96"/>
      <c r="G9" s="95">
        <v>8515.2900000000009</v>
      </c>
      <c r="H9" s="96"/>
      <c r="I9" s="95">
        <v>5029.5600000000004</v>
      </c>
      <c r="J9" s="96"/>
      <c r="K9" s="95">
        <v>0</v>
      </c>
      <c r="L9" s="96"/>
      <c r="M9" s="95">
        <v>0</v>
      </c>
      <c r="N9" s="96"/>
      <c r="O9" s="95">
        <f t="shared" si="0"/>
        <v>13544.850000000002</v>
      </c>
      <c r="P9" s="96"/>
      <c r="Q9" s="62"/>
    </row>
    <row r="10" spans="1:20" ht="18" x14ac:dyDescent="0.35">
      <c r="A10" s="88" t="s">
        <v>131</v>
      </c>
      <c r="B10" s="94"/>
      <c r="C10" s="95">
        <v>0</v>
      </c>
      <c r="D10" s="96"/>
      <c r="E10" s="95">
        <v>0</v>
      </c>
      <c r="F10" s="96"/>
      <c r="G10" s="95">
        <v>626.54999999999995</v>
      </c>
      <c r="H10" s="96"/>
      <c r="I10" s="95">
        <v>484.4</v>
      </c>
      <c r="J10" s="96"/>
      <c r="K10" s="95">
        <v>0</v>
      </c>
      <c r="L10" s="96"/>
      <c r="M10" s="95">
        <v>0</v>
      </c>
      <c r="N10" s="96"/>
      <c r="O10" s="95">
        <f t="shared" si="0"/>
        <v>1110.9499999999998</v>
      </c>
      <c r="P10" s="96"/>
      <c r="Q10" s="62"/>
    </row>
    <row r="11" spans="1:20" ht="18" x14ac:dyDescent="0.35">
      <c r="A11" s="88" t="s">
        <v>132</v>
      </c>
      <c r="B11" s="94"/>
      <c r="C11" s="95">
        <v>0</v>
      </c>
      <c r="D11" s="96"/>
      <c r="E11" s="95">
        <v>0</v>
      </c>
      <c r="F11" s="96"/>
      <c r="G11" s="95">
        <v>1122.81</v>
      </c>
      <c r="H11" s="96"/>
      <c r="I11" s="95">
        <v>453.32</v>
      </c>
      <c r="J11" s="96"/>
      <c r="K11" s="95">
        <v>0</v>
      </c>
      <c r="L11" s="96"/>
      <c r="M11" s="95">
        <v>0</v>
      </c>
      <c r="N11" s="96"/>
      <c r="O11" s="95">
        <f t="shared" si="0"/>
        <v>1576.1299999999999</v>
      </c>
      <c r="P11" s="96"/>
      <c r="Q11" s="62"/>
    </row>
    <row r="12" spans="1:20" ht="18" x14ac:dyDescent="0.35">
      <c r="A12" s="88" t="s">
        <v>133</v>
      </c>
      <c r="B12" s="94"/>
      <c r="C12" s="95">
        <v>0</v>
      </c>
      <c r="D12" s="96"/>
      <c r="E12" s="95">
        <v>0</v>
      </c>
      <c r="F12" s="96"/>
      <c r="G12" s="95">
        <v>835.09</v>
      </c>
      <c r="H12" s="96"/>
      <c r="I12" s="95">
        <v>827.81</v>
      </c>
      <c r="J12" s="96"/>
      <c r="K12" s="95">
        <v>0</v>
      </c>
      <c r="L12" s="96"/>
      <c r="M12" s="95">
        <v>0</v>
      </c>
      <c r="N12" s="96"/>
      <c r="O12" s="95">
        <f t="shared" si="0"/>
        <v>1662.9</v>
      </c>
      <c r="P12" s="96"/>
      <c r="Q12" s="62"/>
    </row>
    <row r="13" spans="1:20" ht="18" x14ac:dyDescent="0.35">
      <c r="A13" s="97"/>
      <c r="B13" s="94"/>
      <c r="C13" s="95">
        <v>0</v>
      </c>
      <c r="D13" s="96"/>
      <c r="E13" s="95">
        <v>0</v>
      </c>
      <c r="F13" s="96"/>
      <c r="G13" s="95">
        <v>0</v>
      </c>
      <c r="H13" s="96"/>
      <c r="I13" s="95">
        <v>0</v>
      </c>
      <c r="J13" s="96"/>
      <c r="K13" s="95">
        <v>0</v>
      </c>
      <c r="L13" s="96"/>
      <c r="M13" s="95">
        <v>0</v>
      </c>
      <c r="N13" s="96"/>
      <c r="O13" s="95">
        <f t="shared" si="0"/>
        <v>0</v>
      </c>
      <c r="P13" s="96"/>
      <c r="Q13" s="62"/>
    </row>
    <row r="14" spans="1:20" ht="6.75" customHeight="1" x14ac:dyDescent="0.35">
      <c r="A14" s="98"/>
      <c r="B14" s="99"/>
      <c r="C14" s="100"/>
      <c r="D14" s="96"/>
      <c r="E14" s="100"/>
      <c r="F14" s="96"/>
      <c r="G14" s="100"/>
      <c r="H14" s="96"/>
      <c r="I14" s="100"/>
      <c r="J14" s="96"/>
      <c r="K14" s="100"/>
      <c r="L14" s="96"/>
      <c r="M14" s="100"/>
      <c r="N14" s="96"/>
      <c r="O14" s="100"/>
      <c r="P14" s="96"/>
    </row>
    <row r="15" spans="1:20" s="4" customFormat="1" ht="19.5" x14ac:dyDescent="0.4">
      <c r="A15" s="142" t="s">
        <v>32</v>
      </c>
      <c r="B15" s="90"/>
      <c r="C15" s="102">
        <f>SUM(C7:C13)</f>
        <v>0</v>
      </c>
      <c r="D15" s="103"/>
      <c r="E15" s="102">
        <f>SUM(E7:E13)</f>
        <v>0</v>
      </c>
      <c r="F15" s="103"/>
      <c r="G15" s="102">
        <f>SUM(G7:G13)</f>
        <v>11099.74</v>
      </c>
      <c r="H15" s="103"/>
      <c r="I15" s="102">
        <f>SUM(I7:I13)</f>
        <v>18842.060000000005</v>
      </c>
      <c r="J15" s="103"/>
      <c r="K15" s="102">
        <f>SUM(K7:K13)</f>
        <v>0</v>
      </c>
      <c r="L15" s="103"/>
      <c r="M15" s="102">
        <f>SUM(M7:M13)</f>
        <v>0</v>
      </c>
      <c r="N15" s="103"/>
      <c r="O15" s="102">
        <f>SUM(O7:O14)</f>
        <v>29941.800000000007</v>
      </c>
      <c r="P15" s="103"/>
    </row>
    <row r="16" spans="1:20" ht="16.5" x14ac:dyDescent="0.3">
      <c r="A16" s="98"/>
      <c r="B16" s="98"/>
      <c r="C16" s="98"/>
      <c r="D16" s="96"/>
      <c r="E16" s="98"/>
      <c r="F16" s="96"/>
      <c r="G16" s="98"/>
      <c r="H16" s="96"/>
      <c r="I16" s="98"/>
      <c r="J16" s="96"/>
      <c r="K16" s="98"/>
      <c r="L16" s="96"/>
      <c r="M16" s="98"/>
      <c r="N16" s="96"/>
      <c r="O16" s="98"/>
      <c r="P16" s="96"/>
    </row>
    <row r="20" spans="1:20" ht="31.5" x14ac:dyDescent="0.5">
      <c r="A20" s="305" t="s">
        <v>237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</row>
    <row r="21" spans="1:20" s="98" customFormat="1" ht="27" x14ac:dyDescent="0.5">
      <c r="A21" s="307" t="s">
        <v>139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96"/>
    </row>
    <row r="22" spans="1:20" s="98" customFormat="1" ht="16.5" x14ac:dyDescent="0.3">
      <c r="D22" s="96"/>
      <c r="F22" s="96"/>
      <c r="H22" s="96"/>
      <c r="J22" s="96"/>
      <c r="L22" s="96"/>
      <c r="N22" s="96"/>
      <c r="P22" s="96"/>
    </row>
    <row r="23" spans="1:20" s="98" customFormat="1" ht="18" x14ac:dyDescent="0.35">
      <c r="A23" s="99"/>
      <c r="B23" s="99"/>
      <c r="C23" s="107" t="s">
        <v>106</v>
      </c>
      <c r="D23" s="103"/>
      <c r="E23" s="107" t="s">
        <v>120</v>
      </c>
      <c r="F23" s="103"/>
      <c r="G23" s="107" t="s">
        <v>108</v>
      </c>
      <c r="H23" s="103"/>
      <c r="I23" s="107" t="s">
        <v>109</v>
      </c>
      <c r="J23" s="103"/>
      <c r="K23" s="107" t="s">
        <v>110</v>
      </c>
      <c r="L23" s="103"/>
      <c r="M23" s="107" t="s">
        <v>138</v>
      </c>
      <c r="N23" s="103"/>
      <c r="O23" s="107" t="s">
        <v>32</v>
      </c>
      <c r="P23" s="96"/>
    </row>
    <row r="24" spans="1:20" s="98" customFormat="1" ht="18" x14ac:dyDescent="0.35">
      <c r="A24" s="90"/>
      <c r="B24" s="90"/>
      <c r="C24" s="90">
        <v>2015</v>
      </c>
      <c r="D24" s="108"/>
      <c r="E24" s="90">
        <v>2015</v>
      </c>
      <c r="F24" s="108"/>
      <c r="G24" s="90">
        <v>2015</v>
      </c>
      <c r="H24" s="108"/>
      <c r="I24" s="90">
        <v>2015</v>
      </c>
      <c r="J24" s="108"/>
      <c r="K24" s="90">
        <v>2015</v>
      </c>
      <c r="L24" s="108"/>
      <c r="M24" s="90">
        <v>2015</v>
      </c>
      <c r="N24" s="108"/>
      <c r="O24" s="90"/>
      <c r="P24" s="96"/>
    </row>
    <row r="25" spans="1:20" s="98" customFormat="1" ht="18" x14ac:dyDescent="0.35">
      <c r="A25" s="109"/>
      <c r="B25" s="110"/>
      <c r="C25" s="111"/>
      <c r="D25" s="112"/>
      <c r="E25" s="111"/>
      <c r="F25" s="112"/>
      <c r="G25" s="111"/>
      <c r="H25" s="112"/>
      <c r="I25" s="111"/>
      <c r="J25" s="112"/>
      <c r="K25" s="111"/>
      <c r="L25" s="112"/>
      <c r="M25" s="111"/>
      <c r="N25" s="112"/>
      <c r="O25" s="111"/>
      <c r="P25" s="96"/>
    </row>
    <row r="26" spans="1:20" ht="18" x14ac:dyDescent="0.35">
      <c r="A26" s="139" t="s">
        <v>62</v>
      </c>
      <c r="B26" s="94"/>
      <c r="C26" s="95">
        <v>0</v>
      </c>
      <c r="D26" s="96"/>
      <c r="E26" s="95">
        <v>0</v>
      </c>
      <c r="F26" s="96"/>
      <c r="G26" s="95">
        <v>0</v>
      </c>
      <c r="H26" s="96"/>
      <c r="I26" s="95">
        <v>0</v>
      </c>
      <c r="J26" s="96"/>
      <c r="K26" s="95">
        <v>0</v>
      </c>
      <c r="L26" s="96"/>
      <c r="M26" s="95">
        <v>0</v>
      </c>
      <c r="N26" s="96"/>
      <c r="O26" s="95">
        <f>SUM(C26+E26+G26+I26+K26+M26)</f>
        <v>0</v>
      </c>
    </row>
    <row r="27" spans="1:20" ht="18" x14ac:dyDescent="0.35">
      <c r="A27" s="139" t="s">
        <v>146</v>
      </c>
      <c r="B27" s="94"/>
      <c r="C27" s="95">
        <v>0</v>
      </c>
      <c r="D27" s="96"/>
      <c r="E27" s="95">
        <v>0</v>
      </c>
      <c r="F27" s="96"/>
      <c r="G27" s="95">
        <v>0</v>
      </c>
      <c r="H27" s="96"/>
      <c r="I27" s="95">
        <v>0</v>
      </c>
      <c r="J27" s="96"/>
      <c r="K27" s="95">
        <f>2400+2400+3351.74</f>
        <v>8151.74</v>
      </c>
      <c r="L27" s="96"/>
      <c r="M27" s="95">
        <v>0</v>
      </c>
      <c r="N27" s="96"/>
      <c r="O27" s="95">
        <f>SUM(C27+E27+G27+I27+K27+M27)</f>
        <v>8151.74</v>
      </c>
    </row>
    <row r="28" spans="1:20" ht="18" x14ac:dyDescent="0.35">
      <c r="A28" s="140" t="s">
        <v>82</v>
      </c>
      <c r="B28" s="94"/>
      <c r="C28" s="95">
        <v>0</v>
      </c>
      <c r="D28" s="96"/>
      <c r="E28" s="95">
        <v>0</v>
      </c>
      <c r="F28" s="96"/>
      <c r="G28" s="95">
        <v>0</v>
      </c>
      <c r="H28" s="96"/>
      <c r="I28" s="95">
        <v>0</v>
      </c>
      <c r="J28" s="96"/>
      <c r="K28" s="95">
        <v>0</v>
      </c>
      <c r="L28" s="96"/>
      <c r="M28" s="95">
        <v>0</v>
      </c>
      <c r="N28" s="96"/>
      <c r="O28" s="95">
        <f t="shared" ref="O28:O43" si="1">SUM(C28+E28+G28+I28+K28+M28)</f>
        <v>0</v>
      </c>
    </row>
    <row r="29" spans="1:20" ht="18" x14ac:dyDescent="0.35">
      <c r="A29" s="140" t="s">
        <v>1</v>
      </c>
      <c r="B29" s="94"/>
      <c r="C29" s="95">
        <v>0</v>
      </c>
      <c r="D29" s="96"/>
      <c r="E29" s="95">
        <v>0</v>
      </c>
      <c r="F29" s="96"/>
      <c r="G29" s="95">
        <v>0</v>
      </c>
      <c r="H29" s="96"/>
      <c r="I29" s="95">
        <f>4778.96</f>
        <v>4778.96</v>
      </c>
      <c r="J29" s="96"/>
      <c r="K29" s="95">
        <v>3690.55</v>
      </c>
      <c r="L29" s="96"/>
      <c r="M29" s="95">
        <v>0</v>
      </c>
      <c r="N29" s="96"/>
      <c r="O29" s="95">
        <f t="shared" si="1"/>
        <v>8469.51</v>
      </c>
    </row>
    <row r="30" spans="1:20" s="31" customFormat="1" ht="18" x14ac:dyDescent="0.35">
      <c r="A30" s="140" t="s">
        <v>81</v>
      </c>
      <c r="B30" s="94"/>
      <c r="C30" s="95">
        <v>0</v>
      </c>
      <c r="D30" s="96"/>
      <c r="E30" s="95">
        <v>0</v>
      </c>
      <c r="F30" s="96"/>
      <c r="G30" s="95">
        <v>0</v>
      </c>
      <c r="H30" s="96"/>
      <c r="I30" s="95">
        <v>0</v>
      </c>
      <c r="J30" s="96"/>
      <c r="K30" s="95">
        <v>0</v>
      </c>
      <c r="L30" s="96"/>
      <c r="M30" s="95">
        <v>0</v>
      </c>
      <c r="N30" s="96"/>
      <c r="O30" s="95">
        <f t="shared" si="1"/>
        <v>0</v>
      </c>
      <c r="Q30"/>
      <c r="R30"/>
      <c r="S30"/>
      <c r="T30"/>
    </row>
    <row r="31" spans="1:20" s="31" customFormat="1" ht="18" x14ac:dyDescent="0.35">
      <c r="A31" s="140" t="s">
        <v>89</v>
      </c>
      <c r="B31" s="94"/>
      <c r="C31" s="95">
        <v>0</v>
      </c>
      <c r="D31" s="96"/>
      <c r="E31" s="95">
        <v>0</v>
      </c>
      <c r="F31" s="96"/>
      <c r="G31" s="95">
        <v>0</v>
      </c>
      <c r="H31" s="96"/>
      <c r="I31" s="95">
        <v>0</v>
      </c>
      <c r="J31" s="96"/>
      <c r="K31" s="95">
        <v>0</v>
      </c>
      <c r="L31" s="96"/>
      <c r="M31" s="95">
        <v>0</v>
      </c>
      <c r="N31" s="96"/>
      <c r="O31" s="95">
        <f t="shared" si="1"/>
        <v>0</v>
      </c>
      <c r="Q31"/>
      <c r="R31"/>
      <c r="S31"/>
      <c r="T31"/>
    </row>
    <row r="32" spans="1:20" s="31" customFormat="1" ht="18" x14ac:dyDescent="0.35">
      <c r="A32" s="140" t="s">
        <v>91</v>
      </c>
      <c r="B32" s="94"/>
      <c r="C32" s="95">
        <v>0</v>
      </c>
      <c r="D32" s="96"/>
      <c r="E32" s="95">
        <v>0</v>
      </c>
      <c r="F32" s="96"/>
      <c r="G32" s="95">
        <v>0</v>
      </c>
      <c r="H32" s="96"/>
      <c r="I32" s="95">
        <f>1132.1</f>
        <v>1132.0999999999999</v>
      </c>
      <c r="J32" s="96"/>
      <c r="K32" s="95">
        <v>0</v>
      </c>
      <c r="L32" s="96"/>
      <c r="M32" s="95">
        <v>0</v>
      </c>
      <c r="N32" s="96"/>
      <c r="O32" s="95">
        <f t="shared" si="1"/>
        <v>1132.0999999999999</v>
      </c>
      <c r="Q32"/>
      <c r="R32"/>
      <c r="S32"/>
      <c r="T32"/>
    </row>
    <row r="33" spans="1:20" s="31" customFormat="1" ht="18" x14ac:dyDescent="0.35">
      <c r="A33" s="140" t="s">
        <v>92</v>
      </c>
      <c r="B33" s="94"/>
      <c r="C33" s="95">
        <v>0</v>
      </c>
      <c r="D33" s="96"/>
      <c r="E33" s="95">
        <v>0</v>
      </c>
      <c r="F33" s="96"/>
      <c r="G33" s="95">
        <v>0</v>
      </c>
      <c r="H33" s="96"/>
      <c r="I33" s="95">
        <v>926.4</v>
      </c>
      <c r="J33" s="96"/>
      <c r="K33" s="95">
        <v>0</v>
      </c>
      <c r="L33" s="96"/>
      <c r="M33" s="95">
        <v>0</v>
      </c>
      <c r="N33" s="96"/>
      <c r="O33" s="95">
        <f t="shared" si="1"/>
        <v>926.4</v>
      </c>
      <c r="Q33"/>
      <c r="R33"/>
      <c r="S33"/>
      <c r="T33"/>
    </row>
    <row r="34" spans="1:20" s="31" customFormat="1" ht="18" x14ac:dyDescent="0.35">
      <c r="A34" s="139" t="s">
        <v>76</v>
      </c>
      <c r="B34" s="94"/>
      <c r="C34" s="95">
        <v>0</v>
      </c>
      <c r="D34" s="96"/>
      <c r="E34" s="95">
        <v>0</v>
      </c>
      <c r="F34" s="96"/>
      <c r="G34" s="95">
        <v>0</v>
      </c>
      <c r="H34" s="96"/>
      <c r="I34" s="95">
        <v>0</v>
      </c>
      <c r="J34" s="96"/>
      <c r="K34" s="95">
        <f>4.95+481.59+27.99+123.87+4.98+11.2+76.88+47.41+1174.59+796.57+134.66+413.15+322.74</f>
        <v>3620.58</v>
      </c>
      <c r="L34" s="96"/>
      <c r="M34" s="95">
        <v>0</v>
      </c>
      <c r="N34" s="96"/>
      <c r="O34" s="95">
        <f t="shared" si="1"/>
        <v>3620.58</v>
      </c>
      <c r="Q34"/>
      <c r="R34"/>
      <c r="S34"/>
      <c r="T34"/>
    </row>
    <row r="35" spans="1:20" s="31" customFormat="1" ht="18" x14ac:dyDescent="0.35">
      <c r="A35" s="140" t="s">
        <v>140</v>
      </c>
      <c r="B35" s="94"/>
      <c r="C35" s="95">
        <v>0</v>
      </c>
      <c r="D35" s="96"/>
      <c r="E35" s="95">
        <v>0</v>
      </c>
      <c r="F35" s="96"/>
      <c r="G35" s="95">
        <v>0</v>
      </c>
      <c r="H35" s="96"/>
      <c r="I35" s="95">
        <f>4005.37</f>
        <v>4005.37</v>
      </c>
      <c r="J35" s="96"/>
      <c r="K35" s="95">
        <f>316.78+533.96</f>
        <v>850.74</v>
      </c>
      <c r="L35" s="96"/>
      <c r="M35" s="95">
        <v>0</v>
      </c>
      <c r="N35" s="96"/>
      <c r="O35" s="95">
        <f t="shared" si="1"/>
        <v>4856.1099999999997</v>
      </c>
      <c r="Q35"/>
      <c r="R35"/>
      <c r="S35"/>
      <c r="T35"/>
    </row>
    <row r="36" spans="1:20" s="31" customFormat="1" ht="18" x14ac:dyDescent="0.35">
      <c r="A36" s="140" t="s">
        <v>141</v>
      </c>
      <c r="B36" s="94"/>
      <c r="C36" s="95">
        <v>0</v>
      </c>
      <c r="D36" s="96"/>
      <c r="E36" s="95">
        <v>0</v>
      </c>
      <c r="F36" s="96"/>
      <c r="G36" s="95">
        <v>0</v>
      </c>
      <c r="H36" s="96"/>
      <c r="I36" s="95">
        <v>0</v>
      </c>
      <c r="J36" s="96"/>
      <c r="K36" s="95">
        <f>587.98</f>
        <v>587.98</v>
      </c>
      <c r="L36" s="96"/>
      <c r="M36" s="95">
        <v>0</v>
      </c>
      <c r="N36" s="96"/>
      <c r="O36" s="95">
        <f t="shared" si="1"/>
        <v>587.98</v>
      </c>
      <c r="Q36"/>
      <c r="R36"/>
      <c r="S36"/>
      <c r="T36"/>
    </row>
    <row r="37" spans="1:20" s="31" customFormat="1" ht="18" x14ac:dyDescent="0.35">
      <c r="A37" s="141" t="s">
        <v>144</v>
      </c>
      <c r="B37" s="94"/>
      <c r="C37" s="95">
        <v>0</v>
      </c>
      <c r="D37" s="96"/>
      <c r="E37" s="95">
        <v>0</v>
      </c>
      <c r="F37" s="96"/>
      <c r="G37" s="95">
        <v>0</v>
      </c>
      <c r="H37" s="96"/>
      <c r="I37" s="95">
        <v>0</v>
      </c>
      <c r="J37" s="96"/>
      <c r="K37" s="95">
        <f>198+3385.99+4641.33+3000.22</f>
        <v>11225.539999999999</v>
      </c>
      <c r="L37" s="96"/>
      <c r="M37" s="95">
        <v>0</v>
      </c>
      <c r="N37" s="96"/>
      <c r="O37" s="95">
        <f t="shared" si="1"/>
        <v>11225.539999999999</v>
      </c>
      <c r="Q37"/>
      <c r="R37"/>
      <c r="S37"/>
      <c r="T37"/>
    </row>
    <row r="38" spans="1:20" s="31" customFormat="1" ht="18" x14ac:dyDescent="0.35">
      <c r="A38" s="141" t="s">
        <v>142</v>
      </c>
      <c r="B38" s="94"/>
      <c r="C38" s="95">
        <v>0</v>
      </c>
      <c r="D38" s="96"/>
      <c r="E38" s="95">
        <v>0</v>
      </c>
      <c r="F38" s="96"/>
      <c r="G38" s="95">
        <v>0</v>
      </c>
      <c r="H38" s="96"/>
      <c r="I38" s="95">
        <f>675+675+450+450+450</f>
        <v>2700</v>
      </c>
      <c r="J38" s="96"/>
      <c r="K38" s="95">
        <f>675+450</f>
        <v>1125</v>
      </c>
      <c r="L38" s="96"/>
      <c r="M38" s="95">
        <v>0</v>
      </c>
      <c r="N38" s="96"/>
      <c r="O38" s="95">
        <f t="shared" si="1"/>
        <v>3825</v>
      </c>
      <c r="Q38"/>
      <c r="R38"/>
      <c r="S38"/>
      <c r="T38"/>
    </row>
    <row r="39" spans="1:20" s="31" customFormat="1" ht="18" x14ac:dyDescent="0.35">
      <c r="A39" s="141" t="s">
        <v>143</v>
      </c>
      <c r="B39" s="94"/>
      <c r="C39" s="95">
        <v>0</v>
      </c>
      <c r="D39" s="96"/>
      <c r="E39" s="95">
        <v>0</v>
      </c>
      <c r="F39" s="96"/>
      <c r="G39" s="95">
        <v>0</v>
      </c>
      <c r="H39" s="96"/>
      <c r="I39" s="95">
        <f>471.87</f>
        <v>471.87</v>
      </c>
      <c r="J39" s="96"/>
      <c r="K39" s="95">
        <f>387.8</f>
        <v>387.8</v>
      </c>
      <c r="L39" s="96"/>
      <c r="M39" s="95">
        <v>0</v>
      </c>
      <c r="N39" s="96"/>
      <c r="O39" s="95">
        <f t="shared" si="1"/>
        <v>859.67000000000007</v>
      </c>
      <c r="Q39"/>
      <c r="R39"/>
      <c r="S39"/>
      <c r="T39"/>
    </row>
    <row r="40" spans="1:20" s="31" customFormat="1" ht="18" x14ac:dyDescent="0.35">
      <c r="A40" s="141" t="s">
        <v>145</v>
      </c>
      <c r="B40" s="94"/>
      <c r="C40" s="95">
        <v>0</v>
      </c>
      <c r="D40" s="96"/>
      <c r="E40" s="95">
        <v>0</v>
      </c>
      <c r="F40" s="96"/>
      <c r="G40" s="95">
        <v>0</v>
      </c>
      <c r="H40" s="96"/>
      <c r="I40" s="95">
        <v>0</v>
      </c>
      <c r="J40" s="96"/>
      <c r="K40" s="95">
        <f>621</f>
        <v>621</v>
      </c>
      <c r="L40" s="96"/>
      <c r="M40" s="95">
        <v>0</v>
      </c>
      <c r="N40" s="96"/>
      <c r="O40" s="95">
        <f t="shared" si="1"/>
        <v>621</v>
      </c>
      <c r="Q40"/>
      <c r="R40"/>
      <c r="S40"/>
      <c r="T40"/>
    </row>
    <row r="41" spans="1:20" s="31" customFormat="1" ht="18" x14ac:dyDescent="0.35">
      <c r="A41" s="141" t="s">
        <v>147</v>
      </c>
      <c r="B41" s="94"/>
      <c r="C41" s="95">
        <v>0</v>
      </c>
      <c r="D41" s="96"/>
      <c r="E41" s="95">
        <v>0</v>
      </c>
      <c r="F41" s="96"/>
      <c r="G41" s="95">
        <v>0</v>
      </c>
      <c r="H41" s="96"/>
      <c r="I41" s="95">
        <f>603</f>
        <v>603</v>
      </c>
      <c r="J41" s="96"/>
      <c r="K41" s="95">
        <v>0</v>
      </c>
      <c r="L41" s="96"/>
      <c r="M41" s="95">
        <v>0</v>
      </c>
      <c r="N41" s="96"/>
      <c r="O41" s="95">
        <f t="shared" si="1"/>
        <v>603</v>
      </c>
      <c r="Q41"/>
      <c r="R41"/>
      <c r="S41"/>
      <c r="T41"/>
    </row>
    <row r="42" spans="1:20" s="31" customFormat="1" ht="18" x14ac:dyDescent="0.35">
      <c r="A42" s="141" t="s">
        <v>153</v>
      </c>
      <c r="B42" s="94"/>
      <c r="C42" s="95">
        <v>0</v>
      </c>
      <c r="D42" s="96"/>
      <c r="E42" s="95">
        <v>0</v>
      </c>
      <c r="F42" s="96"/>
      <c r="G42" s="95">
        <v>0</v>
      </c>
      <c r="H42" s="96"/>
      <c r="I42" s="95">
        <f>371.75</f>
        <v>371.75</v>
      </c>
      <c r="J42" s="96"/>
      <c r="K42" s="95">
        <f>1701.17+1715+16093.59+278.64</f>
        <v>19788.400000000001</v>
      </c>
      <c r="L42" s="96"/>
      <c r="M42" s="95">
        <v>0</v>
      </c>
      <c r="N42" s="96"/>
      <c r="O42" s="95">
        <f t="shared" si="1"/>
        <v>20160.150000000001</v>
      </c>
      <c r="Q42"/>
      <c r="R42"/>
      <c r="S42"/>
      <c r="T42"/>
    </row>
    <row r="43" spans="1:20" s="31" customFormat="1" ht="18" x14ac:dyDescent="0.35">
      <c r="A43" s="141" t="s">
        <v>148</v>
      </c>
      <c r="B43" s="94"/>
      <c r="C43" s="95">
        <v>0</v>
      </c>
      <c r="D43" s="96"/>
      <c r="E43" s="95">
        <v>0</v>
      </c>
      <c r="F43" s="96"/>
      <c r="G43" s="95">
        <v>0</v>
      </c>
      <c r="H43" s="96"/>
      <c r="I43" s="95">
        <v>0</v>
      </c>
      <c r="J43" s="96"/>
      <c r="K43" s="95">
        <f>2532.71</f>
        <v>2532.71</v>
      </c>
      <c r="L43" s="96"/>
      <c r="M43" s="95">
        <v>0</v>
      </c>
      <c r="N43" s="96"/>
      <c r="O43" s="95">
        <f t="shared" si="1"/>
        <v>2532.71</v>
      </c>
      <c r="Q43"/>
      <c r="R43"/>
      <c r="S43"/>
      <c r="T43"/>
    </row>
    <row r="44" spans="1:20" s="31" customFormat="1" ht="18" x14ac:dyDescent="0.35">
      <c r="A44" s="141" t="s">
        <v>79</v>
      </c>
      <c r="B44" s="94"/>
      <c r="C44" s="95">
        <v>0</v>
      </c>
      <c r="D44" s="96"/>
      <c r="E44" s="95">
        <v>0</v>
      </c>
      <c r="F44" s="96"/>
      <c r="G44" s="95">
        <v>0</v>
      </c>
      <c r="H44" s="96"/>
      <c r="I44" s="95">
        <v>0</v>
      </c>
      <c r="J44" s="96"/>
      <c r="K44" s="95">
        <v>0</v>
      </c>
      <c r="L44" s="96"/>
      <c r="M44" s="95">
        <v>0</v>
      </c>
      <c r="N44" s="96"/>
      <c r="O44" s="95">
        <v>0</v>
      </c>
      <c r="Q44"/>
      <c r="R44"/>
      <c r="S44"/>
      <c r="T44"/>
    </row>
    <row r="45" spans="1:20" s="31" customFormat="1" ht="18" x14ac:dyDescent="0.35">
      <c r="A45" s="98"/>
      <c r="B45" s="99"/>
      <c r="C45" s="100"/>
      <c r="D45" s="96"/>
      <c r="E45" s="100"/>
      <c r="F45" s="96"/>
      <c r="G45" s="100"/>
      <c r="H45" s="96"/>
      <c r="I45" s="100"/>
      <c r="J45" s="96"/>
      <c r="K45" s="100"/>
      <c r="L45" s="96"/>
      <c r="M45" s="100"/>
      <c r="N45" s="96"/>
      <c r="O45" s="100"/>
      <c r="Q45"/>
      <c r="R45"/>
      <c r="S45"/>
      <c r="T45"/>
    </row>
    <row r="46" spans="1:20" s="31" customFormat="1" ht="19.5" x14ac:dyDescent="0.4">
      <c r="A46" s="142" t="s">
        <v>32</v>
      </c>
      <c r="B46" s="90"/>
      <c r="C46" s="102">
        <f>SUM(C26:C44)</f>
        <v>0</v>
      </c>
      <c r="D46" s="103"/>
      <c r="E46" s="102">
        <f>SUM(E26:E44)</f>
        <v>0</v>
      </c>
      <c r="F46" s="103"/>
      <c r="G46" s="102">
        <f>SUM(G26:G44)</f>
        <v>0</v>
      </c>
      <c r="H46" s="103"/>
      <c r="I46" s="102">
        <f>SUM(I26:I44)</f>
        <v>14989.449999999999</v>
      </c>
      <c r="J46" s="103"/>
      <c r="K46" s="102">
        <f>SUM(K26:K44)</f>
        <v>52582.04</v>
      </c>
      <c r="L46" s="103"/>
      <c r="M46" s="102">
        <f>SUM(M26:M44)</f>
        <v>0</v>
      </c>
      <c r="N46" s="103"/>
      <c r="O46" s="102">
        <f>SUM(I46+K46)</f>
        <v>67571.490000000005</v>
      </c>
      <c r="Q46"/>
      <c r="R46"/>
      <c r="S46"/>
      <c r="T46"/>
    </row>
    <row r="48" spans="1:20" ht="18.75" x14ac:dyDescent="0.3">
      <c r="O48" s="138">
        <f>SUM(O46+O15)</f>
        <v>97513.290000000008</v>
      </c>
    </row>
  </sheetData>
  <mergeCells count="4">
    <mergeCell ref="A1:O1"/>
    <mergeCell ref="A2:O2"/>
    <mergeCell ref="A20:O20"/>
    <mergeCell ref="A21:O21"/>
  </mergeCells>
  <conditionalFormatting sqref="A26:A27">
    <cfRule type="dataBar" priority="30">
      <dataBar>
        <cfvo type="min"/>
        <cfvo type="max"/>
        <color theme="0"/>
      </dataBar>
    </cfRule>
    <cfRule type="dataBar" priority="31">
      <dataBar>
        <cfvo type="min"/>
        <cfvo type="max"/>
        <color theme="0"/>
      </dataBar>
    </cfRule>
  </conditionalFormatting>
  <conditionalFormatting sqref="A26:A27">
    <cfRule type="dataBar" priority="27">
      <dataBar>
        <cfvo type="min"/>
        <cfvo type="max"/>
        <color rgb="FFFF555A"/>
      </dataBar>
    </cfRule>
    <cfRule type="iconSet" priority="28">
      <iconSet iconSet="4TrafficLights">
        <cfvo type="percent" val="0"/>
        <cfvo type="percent" val="25"/>
        <cfvo type="percent" val="50"/>
        <cfvo type="percent" val="75"/>
      </iconSet>
    </cfRule>
    <cfRule type="dataBar" priority="29">
      <dataBar>
        <cfvo type="min"/>
        <cfvo type="max"/>
        <color rgb="FF638EC6"/>
      </dataBar>
    </cfRule>
  </conditionalFormatting>
  <conditionalFormatting sqref="A29">
    <cfRule type="dataBar" priority="25">
      <dataBar>
        <cfvo type="min"/>
        <cfvo type="max"/>
        <color theme="0"/>
      </dataBar>
    </cfRule>
    <cfRule type="dataBar" priority="26">
      <dataBar>
        <cfvo type="min"/>
        <cfvo type="max"/>
        <color theme="0"/>
      </dataBar>
    </cfRule>
  </conditionalFormatting>
  <conditionalFormatting sqref="A32">
    <cfRule type="dataBar" priority="23">
      <dataBar>
        <cfvo type="min"/>
        <cfvo type="max"/>
        <color theme="0"/>
      </dataBar>
    </cfRule>
    <cfRule type="dataBar" priority="24">
      <dataBar>
        <cfvo type="min"/>
        <cfvo type="max"/>
        <color theme="0"/>
      </dataBar>
    </cfRule>
  </conditionalFormatting>
  <conditionalFormatting sqref="A32">
    <cfRule type="dataBar" priority="20">
      <dataBar>
        <cfvo type="min"/>
        <cfvo type="max"/>
        <color rgb="FFFF555A"/>
      </dataBar>
    </cfRule>
    <cfRule type="iconSet" priority="21">
      <iconSet iconSet="4TrafficLights">
        <cfvo type="percent" val="0"/>
        <cfvo type="percent" val="25"/>
        <cfvo type="percent" val="50"/>
        <cfvo type="percent" val="75"/>
      </iconSet>
    </cfRule>
    <cfRule type="dataBar" priority="22">
      <dataBar>
        <cfvo type="min"/>
        <cfvo type="max"/>
        <color rgb="FF638EC6"/>
      </dataBar>
    </cfRule>
  </conditionalFormatting>
  <conditionalFormatting sqref="A33">
    <cfRule type="dataBar" priority="18">
      <dataBar>
        <cfvo type="min"/>
        <cfvo type="max"/>
        <color theme="0"/>
      </dataBar>
    </cfRule>
    <cfRule type="dataBar" priority="19">
      <dataBar>
        <cfvo type="min"/>
        <cfvo type="max"/>
        <color theme="0"/>
      </dataBar>
    </cfRule>
  </conditionalFormatting>
  <conditionalFormatting sqref="A33">
    <cfRule type="dataBar" priority="15">
      <dataBar>
        <cfvo type="min"/>
        <cfvo type="max"/>
        <color rgb="FFFF555A"/>
      </dataBar>
    </cfRule>
    <cfRule type="iconSet" priority="16">
      <iconSet iconSet="4TrafficLights">
        <cfvo type="percent" val="0"/>
        <cfvo type="percent" val="25"/>
        <cfvo type="percent" val="50"/>
        <cfvo type="percent" val="75"/>
      </iconSet>
    </cfRule>
    <cfRule type="dataBar" priority="17">
      <dataBar>
        <cfvo type="min"/>
        <cfvo type="max"/>
        <color rgb="FF638EC6"/>
      </dataBar>
    </cfRule>
  </conditionalFormatting>
  <conditionalFormatting sqref="A34">
    <cfRule type="dataBar" priority="13">
      <dataBar>
        <cfvo type="min"/>
        <cfvo type="max"/>
        <color theme="0"/>
      </dataBar>
    </cfRule>
    <cfRule type="dataBar" priority="14">
      <dataBar>
        <cfvo type="min"/>
        <cfvo type="max"/>
        <color theme="0"/>
      </dataBar>
    </cfRule>
  </conditionalFormatting>
  <conditionalFormatting sqref="A34">
    <cfRule type="dataBar" priority="10">
      <dataBar>
        <cfvo type="min"/>
        <cfvo type="max"/>
        <color rgb="FFFF555A"/>
      </dataBar>
    </cfRule>
    <cfRule type="iconSet" priority="11">
      <iconSet iconSet="4TrafficLights">
        <cfvo type="percent" val="0"/>
        <cfvo type="percent" val="25"/>
        <cfvo type="percent" val="50"/>
        <cfvo type="percent" val="75"/>
      </iconSet>
    </cfRule>
    <cfRule type="dataBar" priority="12">
      <dataBar>
        <cfvo type="min"/>
        <cfvo type="max"/>
        <color rgb="FF638EC6"/>
      </dataBar>
    </cfRule>
  </conditionalFormatting>
  <conditionalFormatting sqref="A31:A44">
    <cfRule type="dataBar" priority="54">
      <dataBar>
        <cfvo type="min"/>
        <cfvo type="max"/>
        <color theme="0"/>
      </dataBar>
    </cfRule>
    <cfRule type="dataBar" priority="55">
      <dataBar>
        <cfvo type="min"/>
        <cfvo type="max"/>
        <color theme="0"/>
      </dataBar>
    </cfRule>
  </conditionalFormatting>
  <conditionalFormatting sqref="A28:A44">
    <cfRule type="dataBar" priority="56">
      <dataBar>
        <cfvo type="min"/>
        <cfvo type="max"/>
        <color theme="0"/>
      </dataBar>
    </cfRule>
    <cfRule type="dataBar" priority="57">
      <dataBar>
        <cfvo type="min"/>
        <cfvo type="max"/>
        <color theme="0"/>
      </dataBar>
    </cfRule>
  </conditionalFormatting>
  <conditionalFormatting sqref="A28:A44">
    <cfRule type="dataBar" priority="58">
      <dataBar>
        <cfvo type="min"/>
        <cfvo type="max"/>
        <color rgb="FFFF555A"/>
      </dataBar>
    </cfRule>
    <cfRule type="iconSet" priority="59">
      <iconSet iconSet="4TrafficLights">
        <cfvo type="percent" val="0"/>
        <cfvo type="percent" val="25"/>
        <cfvo type="percent" val="50"/>
        <cfvo type="percent" val="75"/>
      </iconSet>
    </cfRule>
    <cfRule type="dataBar" priority="60">
      <dataBar>
        <cfvo type="min"/>
        <cfvo type="max"/>
        <color rgb="FF638EC6"/>
      </dataBar>
    </cfRule>
  </conditionalFormatting>
  <conditionalFormatting sqref="A30:A44">
    <cfRule type="dataBar" priority="61">
      <dataBar>
        <cfvo type="min"/>
        <cfvo type="max"/>
        <color theme="0"/>
      </dataBar>
    </cfRule>
    <cfRule type="dataBar" priority="62">
      <dataBar>
        <cfvo type="min"/>
        <cfvo type="max"/>
        <color theme="0"/>
      </dataBar>
    </cfRule>
  </conditionalFormatting>
  <pageMargins left="0" right="0" top="0" bottom="0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40"/>
  <sheetViews>
    <sheetView topLeftCell="A19" zoomScale="91" zoomScaleNormal="91" workbookViewId="0">
      <selection activeCell="E19" sqref="E19"/>
    </sheetView>
  </sheetViews>
  <sheetFormatPr defaultRowHeight="15" x14ac:dyDescent="0.25"/>
  <cols>
    <col min="1" max="1" width="37.7109375" customWidth="1"/>
    <col min="2" max="2" width="0.85546875" style="31" customWidth="1"/>
    <col min="3" max="3" width="22.5703125" customWidth="1"/>
  </cols>
  <sheetData>
    <row r="1" spans="1:6" ht="36" x14ac:dyDescent="0.55000000000000004">
      <c r="A1" s="308" t="s">
        <v>240</v>
      </c>
      <c r="B1" s="308"/>
      <c r="C1" s="308"/>
      <c r="D1" s="308"/>
      <c r="E1" s="308"/>
      <c r="F1" s="308"/>
    </row>
    <row r="2" spans="1:6" s="98" customFormat="1" ht="27" x14ac:dyDescent="0.5">
      <c r="A2" s="307" t="s">
        <v>238</v>
      </c>
      <c r="B2" s="307"/>
      <c r="C2" s="307"/>
      <c r="D2" s="307"/>
      <c r="E2" s="307"/>
      <c r="F2" s="307"/>
    </row>
    <row r="3" spans="1:6" s="98" customFormat="1" ht="16.5" x14ac:dyDescent="0.3">
      <c r="B3" s="96"/>
    </row>
    <row r="4" spans="1:6" s="98" customFormat="1" ht="22.5" x14ac:dyDescent="0.45">
      <c r="A4" s="99"/>
      <c r="B4" s="103"/>
      <c r="C4" s="147">
        <v>2015</v>
      </c>
    </row>
    <row r="5" spans="1:6" s="98" customFormat="1" ht="18" x14ac:dyDescent="0.35">
      <c r="A5" s="90"/>
      <c r="B5" s="108"/>
      <c r="C5" s="90"/>
    </row>
    <row r="6" spans="1:6" s="98" customFormat="1" ht="23.25" x14ac:dyDescent="0.35">
      <c r="A6" s="146" t="s">
        <v>230</v>
      </c>
      <c r="B6" s="116"/>
      <c r="C6" s="117">
        <f>SUM(C15)</f>
        <v>116475</v>
      </c>
    </row>
    <row r="7" spans="1:6" s="98" customFormat="1" ht="23.25" x14ac:dyDescent="0.35">
      <c r="A7" s="146" t="s">
        <v>231</v>
      </c>
      <c r="B7" s="116"/>
      <c r="C7" s="117">
        <f>SUM(C40)</f>
        <v>115285.25</v>
      </c>
    </row>
    <row r="8" spans="1:6" s="98" customFormat="1" ht="18" x14ac:dyDescent="0.35">
      <c r="A8" s="90"/>
      <c r="B8" s="108"/>
      <c r="C8" s="143"/>
    </row>
    <row r="9" spans="1:6" s="98" customFormat="1" ht="22.5" x14ac:dyDescent="0.45">
      <c r="A9" s="145" t="s">
        <v>206</v>
      </c>
      <c r="B9" s="108"/>
      <c r="C9" s="90"/>
    </row>
    <row r="10" spans="1:6" s="98" customFormat="1" ht="18" x14ac:dyDescent="0.35">
      <c r="A10" s="125" t="s">
        <v>207</v>
      </c>
      <c r="B10" s="108"/>
      <c r="C10" s="117">
        <f>62000</f>
        <v>62000</v>
      </c>
    </row>
    <row r="11" spans="1:6" s="98" customFormat="1" ht="18" x14ac:dyDescent="0.35">
      <c r="A11" s="125" t="s">
        <v>239</v>
      </c>
      <c r="B11" s="108"/>
      <c r="C11" s="117">
        <f>2475</f>
        <v>2475</v>
      </c>
    </row>
    <row r="12" spans="1:6" s="98" customFormat="1" ht="18" x14ac:dyDescent="0.35">
      <c r="A12" s="125" t="s">
        <v>208</v>
      </c>
      <c r="B12" s="108"/>
      <c r="C12" s="117">
        <f>21000</f>
        <v>21000</v>
      </c>
    </row>
    <row r="13" spans="1:6" s="98" customFormat="1" ht="18" x14ac:dyDescent="0.35">
      <c r="A13" s="125" t="s">
        <v>209</v>
      </c>
      <c r="B13" s="108"/>
      <c r="C13" s="117">
        <f>25000</f>
        <v>25000</v>
      </c>
    </row>
    <row r="14" spans="1:6" s="98" customFormat="1" ht="18" x14ac:dyDescent="0.35">
      <c r="A14" s="125" t="s">
        <v>210</v>
      </c>
      <c r="B14" s="108"/>
      <c r="C14" s="117">
        <f>6000</f>
        <v>6000</v>
      </c>
    </row>
    <row r="15" spans="1:6" s="98" customFormat="1" ht="18" x14ac:dyDescent="0.35">
      <c r="A15" s="90"/>
      <c r="B15" s="108"/>
      <c r="C15" s="143">
        <f>SUM(C10:C14)</f>
        <v>116475</v>
      </c>
    </row>
    <row r="16" spans="1:6" s="98" customFormat="1" ht="18" x14ac:dyDescent="0.35">
      <c r="A16" s="90"/>
      <c r="B16" s="108"/>
      <c r="C16" s="90"/>
    </row>
    <row r="17" spans="1:4" s="98" customFormat="1" ht="22.5" x14ac:dyDescent="0.45">
      <c r="A17" s="145" t="s">
        <v>231</v>
      </c>
      <c r="B17" s="112"/>
      <c r="C17" s="111"/>
    </row>
    <row r="18" spans="1:4" ht="16.5" x14ac:dyDescent="0.3">
      <c r="A18" s="104" t="s">
        <v>62</v>
      </c>
      <c r="B18" s="96"/>
      <c r="C18" s="95">
        <f>60080.63+3342.95+2075.46</f>
        <v>65499.039999999994</v>
      </c>
    </row>
    <row r="19" spans="1:4" s="31" customFormat="1" ht="16.5" x14ac:dyDescent="0.3">
      <c r="A19" s="104" t="s">
        <v>72</v>
      </c>
      <c r="B19" s="96"/>
      <c r="C19" s="95">
        <v>6200</v>
      </c>
      <c r="D19"/>
    </row>
    <row r="20" spans="1:4" s="31" customFormat="1" ht="16.5" x14ac:dyDescent="0.3">
      <c r="A20" s="104" t="s">
        <v>146</v>
      </c>
      <c r="B20" s="96"/>
      <c r="C20" s="95">
        <v>2400</v>
      </c>
      <c r="D20"/>
    </row>
    <row r="21" spans="1:4" s="31" customFormat="1" ht="16.5" x14ac:dyDescent="0.3">
      <c r="A21" s="105" t="s">
        <v>82</v>
      </c>
      <c r="B21" s="96"/>
      <c r="C21" s="95">
        <v>625</v>
      </c>
      <c r="D21"/>
    </row>
    <row r="22" spans="1:4" s="31" customFormat="1" ht="16.5" x14ac:dyDescent="0.3">
      <c r="A22" s="105" t="s">
        <v>1</v>
      </c>
      <c r="B22" s="96"/>
      <c r="C22" s="95">
        <v>3690.55</v>
      </c>
      <c r="D22"/>
    </row>
    <row r="23" spans="1:4" s="31" customFormat="1" ht="16.5" x14ac:dyDescent="0.3">
      <c r="A23" s="105" t="s">
        <v>81</v>
      </c>
      <c r="B23" s="96"/>
      <c r="C23" s="95">
        <v>600</v>
      </c>
      <c r="D23"/>
    </row>
    <row r="24" spans="1:4" s="31" customFormat="1" ht="16.5" x14ac:dyDescent="0.3">
      <c r="A24" s="105" t="s">
        <v>89</v>
      </c>
      <c r="B24" s="96"/>
      <c r="C24" s="95">
        <v>1500</v>
      </c>
      <c r="D24"/>
    </row>
    <row r="25" spans="1:4" s="31" customFormat="1" ht="16.5" x14ac:dyDescent="0.3">
      <c r="A25" s="105" t="s">
        <v>91</v>
      </c>
      <c r="B25" s="96"/>
      <c r="C25" s="95">
        <v>350</v>
      </c>
      <c r="D25"/>
    </row>
    <row r="26" spans="1:4" s="31" customFormat="1" ht="16.5" x14ac:dyDescent="0.3">
      <c r="A26" s="105" t="s">
        <v>92</v>
      </c>
      <c r="B26" s="96"/>
      <c r="C26" s="95">
        <v>933.22</v>
      </c>
      <c r="D26"/>
    </row>
    <row r="27" spans="1:4" s="31" customFormat="1" ht="16.5" x14ac:dyDescent="0.3">
      <c r="A27" s="104" t="s">
        <v>76</v>
      </c>
      <c r="B27" s="96"/>
      <c r="C27" s="95">
        <f>4.95+481.59+27.99+123.87+4.98+11.2+76.88+47.41+1174.59+796.57+134.66+413.15+322.74+1579.42</f>
        <v>5200</v>
      </c>
      <c r="D27"/>
    </row>
    <row r="28" spans="1:4" s="31" customFormat="1" ht="16.5" x14ac:dyDescent="0.3">
      <c r="A28" s="105" t="s">
        <v>140</v>
      </c>
      <c r="B28" s="96"/>
      <c r="C28" s="95">
        <v>1300</v>
      </c>
      <c r="D28"/>
    </row>
    <row r="29" spans="1:4" s="31" customFormat="1" ht="16.5" x14ac:dyDescent="0.3">
      <c r="A29" s="105" t="s">
        <v>141</v>
      </c>
      <c r="B29" s="96"/>
      <c r="C29" s="95">
        <v>1200</v>
      </c>
      <c r="D29"/>
    </row>
    <row r="30" spans="1:4" s="31" customFormat="1" ht="16.5" x14ac:dyDescent="0.3">
      <c r="A30" s="106" t="s">
        <v>144</v>
      </c>
      <c r="B30" s="96"/>
      <c r="C30" s="95">
        <v>15300</v>
      </c>
      <c r="D30"/>
    </row>
    <row r="31" spans="1:4" s="31" customFormat="1" ht="16.5" x14ac:dyDescent="0.3">
      <c r="A31" s="106" t="s">
        <v>142</v>
      </c>
      <c r="B31" s="96"/>
      <c r="C31" s="95">
        <f>675+450</f>
        <v>1125</v>
      </c>
      <c r="D31"/>
    </row>
    <row r="32" spans="1:4" s="31" customFormat="1" ht="16.5" x14ac:dyDescent="0.3">
      <c r="A32" s="106" t="s">
        <v>143</v>
      </c>
      <c r="B32" s="96"/>
      <c r="C32" s="95">
        <v>450</v>
      </c>
      <c r="D32"/>
    </row>
    <row r="33" spans="1:4" s="31" customFormat="1" ht="16.5" x14ac:dyDescent="0.3">
      <c r="A33" s="106" t="s">
        <v>145</v>
      </c>
      <c r="B33" s="96"/>
      <c r="C33" s="95">
        <f>621</f>
        <v>621</v>
      </c>
      <c r="D33"/>
    </row>
    <row r="34" spans="1:4" s="31" customFormat="1" ht="16.5" x14ac:dyDescent="0.3">
      <c r="A34" s="106" t="s">
        <v>147</v>
      </c>
      <c r="B34" s="96"/>
      <c r="C34" s="95">
        <v>300</v>
      </c>
      <c r="D34"/>
    </row>
    <row r="35" spans="1:4" s="31" customFormat="1" ht="16.5" x14ac:dyDescent="0.3">
      <c r="A35" s="106" t="s">
        <v>153</v>
      </c>
      <c r="B35" s="96"/>
      <c r="C35" s="95">
        <f>1701.17+1715+350+180+450</f>
        <v>4396.17</v>
      </c>
      <c r="D35"/>
    </row>
    <row r="36" spans="1:4" s="31" customFormat="1" ht="16.5" x14ac:dyDescent="0.3">
      <c r="A36" s="106" t="s">
        <v>148</v>
      </c>
      <c r="B36" s="96"/>
      <c r="C36" s="95">
        <v>800</v>
      </c>
      <c r="D36"/>
    </row>
    <row r="37" spans="1:4" s="31" customFormat="1" ht="16.5" x14ac:dyDescent="0.3">
      <c r="A37" s="106" t="s">
        <v>79</v>
      </c>
      <c r="B37" s="96"/>
      <c r="C37" s="95">
        <v>1100</v>
      </c>
      <c r="D37"/>
    </row>
    <row r="38" spans="1:4" s="31" customFormat="1" ht="16.5" x14ac:dyDescent="0.3">
      <c r="A38" s="106" t="s">
        <v>51</v>
      </c>
      <c r="B38" s="96"/>
      <c r="C38" s="95">
        <f>571.08+618.01+506.18</f>
        <v>1695.2700000000002</v>
      </c>
      <c r="D38"/>
    </row>
    <row r="39" spans="1:4" s="31" customFormat="1" ht="16.5" x14ac:dyDescent="0.3">
      <c r="A39" s="97"/>
      <c r="B39" s="96"/>
      <c r="C39" s="95">
        <v>0</v>
      </c>
      <c r="D39"/>
    </row>
    <row r="40" spans="1:4" s="31" customFormat="1" ht="18" x14ac:dyDescent="0.35">
      <c r="A40" s="101"/>
      <c r="B40" s="103"/>
      <c r="C40" s="144">
        <f>SUM(C18:C39)</f>
        <v>115285.25</v>
      </c>
      <c r="D40"/>
    </row>
  </sheetData>
  <mergeCells count="2">
    <mergeCell ref="A1:F1"/>
    <mergeCell ref="A2:F2"/>
  </mergeCells>
  <conditionalFormatting sqref="A18:A20">
    <cfRule type="dataBar" priority="40">
      <dataBar>
        <cfvo type="min"/>
        <cfvo type="max"/>
        <color theme="0"/>
      </dataBar>
    </cfRule>
    <cfRule type="dataBar" priority="41">
      <dataBar>
        <cfvo type="min"/>
        <cfvo type="max"/>
        <color theme="0"/>
      </dataBar>
    </cfRule>
  </conditionalFormatting>
  <conditionalFormatting sqref="A18:A20">
    <cfRule type="dataBar" priority="37">
      <dataBar>
        <cfvo type="min"/>
        <cfvo type="max"/>
        <color rgb="FFFF555A"/>
      </dataBar>
    </cfRule>
    <cfRule type="iconSet" priority="38">
      <iconSet iconSet="4TrafficLights">
        <cfvo type="percent" val="0"/>
        <cfvo type="percent" val="25"/>
        <cfvo type="percent" val="50"/>
        <cfvo type="percent" val="75"/>
      </iconSet>
    </cfRule>
    <cfRule type="dataBar" priority="39">
      <dataBar>
        <cfvo type="min"/>
        <cfvo type="max"/>
        <color rgb="FF638EC6"/>
      </dataBar>
    </cfRule>
  </conditionalFormatting>
  <conditionalFormatting sqref="A22">
    <cfRule type="dataBar" priority="35">
      <dataBar>
        <cfvo type="min"/>
        <cfvo type="max"/>
        <color theme="0"/>
      </dataBar>
    </cfRule>
    <cfRule type="dataBar" priority="36">
      <dataBar>
        <cfvo type="min"/>
        <cfvo type="max"/>
        <color theme="0"/>
      </dataBar>
    </cfRule>
  </conditionalFormatting>
  <conditionalFormatting sqref="A25">
    <cfRule type="dataBar" priority="33">
      <dataBar>
        <cfvo type="min"/>
        <cfvo type="max"/>
        <color theme="0"/>
      </dataBar>
    </cfRule>
    <cfRule type="dataBar" priority="34">
      <dataBar>
        <cfvo type="min"/>
        <cfvo type="max"/>
        <color theme="0"/>
      </dataBar>
    </cfRule>
  </conditionalFormatting>
  <conditionalFormatting sqref="A25">
    <cfRule type="dataBar" priority="30">
      <dataBar>
        <cfvo type="min"/>
        <cfvo type="max"/>
        <color rgb="FFFF555A"/>
      </dataBar>
    </cfRule>
    <cfRule type="iconSet" priority="31">
      <iconSet iconSet="4TrafficLights">
        <cfvo type="percent" val="0"/>
        <cfvo type="percent" val="25"/>
        <cfvo type="percent" val="50"/>
        <cfvo type="percent" val="75"/>
      </iconSet>
    </cfRule>
    <cfRule type="dataBar" priority="32">
      <dataBar>
        <cfvo type="min"/>
        <cfvo type="max"/>
        <color rgb="FF638EC6"/>
      </dataBar>
    </cfRule>
  </conditionalFormatting>
  <conditionalFormatting sqref="A26">
    <cfRule type="dataBar" priority="28">
      <dataBar>
        <cfvo type="min"/>
        <cfvo type="max"/>
        <color theme="0"/>
      </dataBar>
    </cfRule>
    <cfRule type="dataBar" priority="29">
      <dataBar>
        <cfvo type="min"/>
        <cfvo type="max"/>
        <color theme="0"/>
      </dataBar>
    </cfRule>
  </conditionalFormatting>
  <conditionalFormatting sqref="A26">
    <cfRule type="dataBar" priority="25">
      <dataBar>
        <cfvo type="min"/>
        <cfvo type="max"/>
        <color rgb="FFFF555A"/>
      </dataBar>
    </cfRule>
    <cfRule type="iconSet" priority="26">
      <iconSet iconSet="4TrafficLights">
        <cfvo type="percent" val="0"/>
        <cfvo type="percent" val="25"/>
        <cfvo type="percent" val="50"/>
        <cfvo type="percent" val="75"/>
      </iconSet>
    </cfRule>
    <cfRule type="dataBar" priority="27">
      <dataBar>
        <cfvo type="min"/>
        <cfvo type="max"/>
        <color rgb="FF638EC6"/>
      </dataBar>
    </cfRule>
  </conditionalFormatting>
  <conditionalFormatting sqref="A27">
    <cfRule type="dataBar" priority="23">
      <dataBar>
        <cfvo type="min"/>
        <cfvo type="max"/>
        <color theme="0"/>
      </dataBar>
    </cfRule>
    <cfRule type="dataBar" priority="24">
      <dataBar>
        <cfvo type="min"/>
        <cfvo type="max"/>
        <color theme="0"/>
      </dataBar>
    </cfRule>
  </conditionalFormatting>
  <conditionalFormatting sqref="A27">
    <cfRule type="dataBar" priority="20">
      <dataBar>
        <cfvo type="min"/>
        <cfvo type="max"/>
        <color rgb="FFFF555A"/>
      </dataBar>
    </cfRule>
    <cfRule type="iconSet" priority="21">
      <iconSet iconSet="4TrafficLights">
        <cfvo type="percent" val="0"/>
        <cfvo type="percent" val="25"/>
        <cfvo type="percent" val="50"/>
        <cfvo type="percent" val="75"/>
      </iconSet>
    </cfRule>
    <cfRule type="dataBar" priority="22">
      <dataBar>
        <cfvo type="min"/>
        <cfvo type="max"/>
        <color rgb="FF638EC6"/>
      </dataBar>
    </cfRule>
  </conditionalFormatting>
  <conditionalFormatting sqref="A24:A38">
    <cfRule type="dataBar" priority="18">
      <dataBar>
        <cfvo type="min"/>
        <cfvo type="max"/>
        <color theme="0"/>
      </dataBar>
    </cfRule>
    <cfRule type="dataBar" priority="19">
      <dataBar>
        <cfvo type="min"/>
        <cfvo type="max"/>
        <color theme="0"/>
      </dataBar>
    </cfRule>
  </conditionalFormatting>
  <conditionalFormatting sqref="A21:A38">
    <cfRule type="dataBar" priority="16">
      <dataBar>
        <cfvo type="min"/>
        <cfvo type="max"/>
        <color theme="0"/>
      </dataBar>
    </cfRule>
    <cfRule type="dataBar" priority="17">
      <dataBar>
        <cfvo type="min"/>
        <cfvo type="max"/>
        <color theme="0"/>
      </dataBar>
    </cfRule>
  </conditionalFormatting>
  <conditionalFormatting sqref="A21:A38">
    <cfRule type="dataBar" priority="13">
      <dataBar>
        <cfvo type="min"/>
        <cfvo type="max"/>
        <color rgb="FFFF555A"/>
      </dataBar>
    </cfRule>
    <cfRule type="iconSet" priority="14">
      <iconSet iconSet="4TrafficLights">
        <cfvo type="percent" val="0"/>
        <cfvo type="percent" val="25"/>
        <cfvo type="percent" val="50"/>
        <cfvo type="percent" val="75"/>
      </iconSet>
    </cfRule>
    <cfRule type="dataBar" priority="15">
      <dataBar>
        <cfvo type="min"/>
        <cfvo type="max"/>
        <color rgb="FF638EC6"/>
      </dataBar>
    </cfRule>
  </conditionalFormatting>
  <conditionalFormatting sqref="A23:A38">
    <cfRule type="dataBar" priority="11">
      <dataBar>
        <cfvo type="min"/>
        <cfvo type="max"/>
        <color theme="0"/>
      </dataBar>
    </cfRule>
    <cfRule type="dataBar" priority="12">
      <dataBar>
        <cfvo type="min"/>
        <cfvo type="max"/>
        <color theme="0"/>
      </dataBar>
    </cfRule>
  </conditionalFormatting>
  <conditionalFormatting sqref="A17">
    <cfRule type="dataBar" priority="4">
      <dataBar>
        <cfvo type="min"/>
        <cfvo type="max"/>
        <color theme="0"/>
      </dataBar>
    </cfRule>
    <cfRule type="dataBar" priority="5">
      <dataBar>
        <cfvo type="min"/>
        <cfvo type="max"/>
        <color theme="0"/>
      </dataBar>
    </cfRule>
  </conditionalFormatting>
  <conditionalFormatting sqref="A17">
    <cfRule type="dataBar" priority="1">
      <dataBar>
        <cfvo type="min"/>
        <cfvo type="max"/>
        <color rgb="FFFF555A"/>
      </dataBar>
    </cfRule>
    <cfRule type="iconSet" priority="2">
      <iconSet iconSet="4TrafficLights">
        <cfvo type="percent" val="0"/>
        <cfvo type="percent" val="25"/>
        <cfvo type="percent" val="50"/>
        <cfvo type="percent" val="75"/>
      </iconSet>
    </cfRule>
    <cfRule type="dataBar" priority="3">
      <dataBar>
        <cfvo type="min"/>
        <cfvo type="max"/>
        <color rgb="FF638EC6"/>
      </dataBar>
    </cfRule>
  </conditionalFormatting>
  <conditionalFormatting sqref="A9:A14">
    <cfRule type="dataBar" priority="42">
      <dataBar>
        <cfvo type="min"/>
        <cfvo type="max"/>
        <color theme="0"/>
      </dataBar>
    </cfRule>
    <cfRule type="dataBar" priority="43">
      <dataBar>
        <cfvo type="min"/>
        <cfvo type="max"/>
        <color theme="0"/>
      </dataBar>
    </cfRule>
  </conditionalFormatting>
  <conditionalFormatting sqref="A9:A14">
    <cfRule type="dataBar" priority="46">
      <dataBar>
        <cfvo type="min"/>
        <cfvo type="max"/>
        <color rgb="FFFF555A"/>
      </dataBar>
    </cfRule>
    <cfRule type="iconSet" priority="47">
      <iconSet iconSet="4TrafficLights">
        <cfvo type="percent" val="0"/>
        <cfvo type="percent" val="25"/>
        <cfvo type="percent" val="50"/>
        <cfvo type="percent" val="75"/>
      </iconSet>
    </cfRule>
    <cfRule type="dataBar" priority="48">
      <dataBar>
        <cfvo type="min"/>
        <cfvo type="max"/>
        <color rgb="FF638EC6"/>
      </dataBar>
    </cfRule>
  </conditionalFormatting>
  <pageMargins left="0" right="0" top="0" bottom="0" header="0.31496062992125984" footer="0.31496062992125984"/>
  <pageSetup paperSize="9" scale="11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zoomScale="91" zoomScaleNormal="91" workbookViewId="0">
      <selection activeCell="E19" sqref="E19"/>
    </sheetView>
  </sheetViews>
  <sheetFormatPr defaultRowHeight="15" x14ac:dyDescent="0.25"/>
  <cols>
    <col min="1" max="1" width="25.7109375" bestFit="1" customWidth="1"/>
    <col min="2" max="2" width="1.42578125" customWidth="1"/>
    <col min="3" max="3" width="13.7109375" bestFit="1" customWidth="1"/>
    <col min="4" max="4" width="0.7109375" style="31" customWidth="1"/>
    <col min="5" max="5" width="13.7109375" customWidth="1"/>
    <col min="6" max="6" width="0.85546875" style="31" customWidth="1"/>
    <col min="7" max="7" width="15.5703125" customWidth="1"/>
    <col min="8" max="8" width="0.85546875" style="31" customWidth="1"/>
    <col min="9" max="9" width="15.85546875" customWidth="1"/>
    <col min="10" max="10" width="0.85546875" style="31" customWidth="1"/>
    <col min="11" max="11" width="16.85546875" customWidth="1"/>
    <col min="12" max="12" width="1" style="31" customWidth="1"/>
    <col min="13" max="13" width="16.5703125" customWidth="1"/>
    <col min="14" max="14" width="0.85546875" style="31" customWidth="1"/>
    <col min="15" max="15" width="19.28515625" customWidth="1"/>
    <col min="16" max="16" width="0.7109375" style="31" customWidth="1"/>
  </cols>
  <sheetData>
    <row r="1" spans="1:20" ht="31.5" customHeight="1" x14ac:dyDescent="0.5">
      <c r="A1" s="305" t="s">
        <v>136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64"/>
      <c r="Q1" s="64"/>
      <c r="R1" s="64"/>
      <c r="S1" s="64"/>
      <c r="T1" s="64"/>
    </row>
    <row r="2" spans="1:20" ht="23.25" x14ac:dyDescent="0.35">
      <c r="A2" s="306" t="s">
        <v>179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65"/>
      <c r="Q2" s="65"/>
      <c r="R2" s="65"/>
      <c r="S2" s="65"/>
      <c r="T2" s="65"/>
    </row>
    <row r="4" spans="1:20" s="4" customFormat="1" x14ac:dyDescent="0.25">
      <c r="C4" s="59" t="s">
        <v>106</v>
      </c>
      <c r="D4" s="32"/>
      <c r="E4" s="59" t="s">
        <v>120</v>
      </c>
      <c r="F4" s="32"/>
      <c r="G4" s="59" t="s">
        <v>108</v>
      </c>
      <c r="H4" s="32"/>
      <c r="I4" s="59" t="s">
        <v>109</v>
      </c>
      <c r="J4" s="32"/>
      <c r="K4" s="59" t="s">
        <v>110</v>
      </c>
      <c r="L4" s="32"/>
      <c r="M4" s="59" t="s">
        <v>138</v>
      </c>
      <c r="N4" s="32"/>
      <c r="O4" s="59" t="s">
        <v>32</v>
      </c>
      <c r="P4" s="32"/>
    </row>
    <row r="5" spans="1:20" s="3" customFormat="1" x14ac:dyDescent="0.25">
      <c r="C5" s="3">
        <v>2015</v>
      </c>
      <c r="D5" s="33"/>
      <c r="E5" s="3">
        <v>2015</v>
      </c>
      <c r="F5" s="33"/>
      <c r="G5" s="3">
        <v>2015</v>
      </c>
      <c r="H5" s="33"/>
      <c r="I5" s="3">
        <v>2015</v>
      </c>
      <c r="J5" s="33"/>
      <c r="K5" s="3">
        <v>2015</v>
      </c>
      <c r="L5" s="33"/>
      <c r="M5" s="3">
        <v>2015</v>
      </c>
      <c r="N5" s="33"/>
      <c r="P5" s="33"/>
    </row>
    <row r="6" spans="1:20" s="8" customFormat="1" ht="12.75" customHeight="1" x14ac:dyDescent="0.25">
      <c r="A6" s="37" t="s">
        <v>59</v>
      </c>
      <c r="C6" s="56"/>
      <c r="D6" s="35"/>
      <c r="E6" s="56"/>
      <c r="F6" s="35"/>
      <c r="G6" s="56"/>
      <c r="H6" s="35"/>
      <c r="I6" s="56"/>
      <c r="J6" s="35"/>
      <c r="K6" s="56"/>
      <c r="L6" s="35"/>
      <c r="M6" s="56"/>
      <c r="N6" s="35"/>
      <c r="O6" s="56"/>
      <c r="P6" s="35"/>
    </row>
    <row r="7" spans="1:20" x14ac:dyDescent="0.25">
      <c r="A7" s="63"/>
      <c r="B7" s="57"/>
      <c r="C7" s="60">
        <f>5924.94</f>
        <v>5924.94</v>
      </c>
      <c r="D7" s="61"/>
      <c r="E7" s="60">
        <v>0</v>
      </c>
      <c r="F7" s="61"/>
      <c r="G7" s="60">
        <v>0</v>
      </c>
      <c r="H7" s="61"/>
      <c r="I7" s="60">
        <v>0</v>
      </c>
      <c r="J7" s="61"/>
      <c r="K7" s="60">
        <v>0</v>
      </c>
      <c r="L7" s="61"/>
      <c r="M7" s="60">
        <v>0</v>
      </c>
      <c r="N7" s="61"/>
      <c r="O7" s="60">
        <f>SUM(C7+E7+G7+I7+K7+M7)</f>
        <v>5924.94</v>
      </c>
      <c r="P7" s="61"/>
      <c r="Q7" s="62"/>
    </row>
    <row r="8" spans="1:20" x14ac:dyDescent="0.25">
      <c r="A8" s="63"/>
      <c r="B8" s="57"/>
      <c r="C8" s="60">
        <v>0</v>
      </c>
      <c r="D8" s="61"/>
      <c r="E8" s="60">
        <v>0</v>
      </c>
      <c r="F8" s="61"/>
      <c r="G8" s="60">
        <v>0</v>
      </c>
      <c r="H8" s="61"/>
      <c r="I8" s="60">
        <v>0</v>
      </c>
      <c r="J8" s="61"/>
      <c r="K8" s="60">
        <v>0</v>
      </c>
      <c r="L8" s="61"/>
      <c r="M8" s="60">
        <v>0</v>
      </c>
      <c r="N8" s="61"/>
      <c r="O8" s="60">
        <f t="shared" ref="O8:O13" si="0">SUM(C8+E8+G8+I8+K8+M8)</f>
        <v>0</v>
      </c>
      <c r="P8" s="61"/>
      <c r="Q8" s="62"/>
    </row>
    <row r="9" spans="1:20" x14ac:dyDescent="0.25">
      <c r="A9" s="63"/>
      <c r="B9" s="57"/>
      <c r="C9" s="60">
        <v>0</v>
      </c>
      <c r="D9" s="61"/>
      <c r="E9" s="60">
        <v>0</v>
      </c>
      <c r="F9" s="61"/>
      <c r="G9" s="60">
        <v>0</v>
      </c>
      <c r="H9" s="61"/>
      <c r="I9" s="60">
        <v>0</v>
      </c>
      <c r="J9" s="61"/>
      <c r="K9" s="60">
        <v>0</v>
      </c>
      <c r="L9" s="61"/>
      <c r="M9" s="60">
        <v>0</v>
      </c>
      <c r="N9" s="61"/>
      <c r="O9" s="60">
        <f t="shared" si="0"/>
        <v>0</v>
      </c>
      <c r="P9" s="61"/>
      <c r="Q9" s="62"/>
    </row>
    <row r="10" spans="1:20" x14ac:dyDescent="0.25">
      <c r="A10" s="63"/>
      <c r="B10" s="57"/>
      <c r="C10" s="60">
        <v>0</v>
      </c>
      <c r="D10" s="61"/>
      <c r="E10" s="60">
        <v>0</v>
      </c>
      <c r="F10" s="61"/>
      <c r="G10" s="60">
        <v>0</v>
      </c>
      <c r="H10" s="61"/>
      <c r="I10" s="60">
        <v>0</v>
      </c>
      <c r="J10" s="61"/>
      <c r="K10" s="60">
        <v>0</v>
      </c>
      <c r="L10" s="61"/>
      <c r="M10" s="60">
        <v>0</v>
      </c>
      <c r="N10" s="61"/>
      <c r="O10" s="60">
        <f t="shared" si="0"/>
        <v>0</v>
      </c>
      <c r="P10" s="61"/>
      <c r="Q10" s="62"/>
    </row>
    <row r="11" spans="1:20" x14ac:dyDescent="0.25">
      <c r="A11" s="63"/>
      <c r="B11" s="57"/>
      <c r="C11" s="60">
        <v>0</v>
      </c>
      <c r="D11" s="61"/>
      <c r="E11" s="60">
        <v>0</v>
      </c>
      <c r="F11" s="61"/>
      <c r="G11" s="60">
        <v>0</v>
      </c>
      <c r="H11" s="61"/>
      <c r="I11" s="60">
        <v>0</v>
      </c>
      <c r="J11" s="61"/>
      <c r="K11" s="60">
        <v>0</v>
      </c>
      <c r="L11" s="61"/>
      <c r="M11" s="60">
        <v>0</v>
      </c>
      <c r="N11" s="61"/>
      <c r="O11" s="60">
        <f t="shared" si="0"/>
        <v>0</v>
      </c>
      <c r="P11" s="61"/>
      <c r="Q11" s="62"/>
    </row>
    <row r="12" spans="1:20" x14ac:dyDescent="0.25">
      <c r="A12" s="63"/>
      <c r="B12" s="57"/>
      <c r="C12" s="60">
        <v>0</v>
      </c>
      <c r="D12" s="61"/>
      <c r="E12" s="60">
        <v>0</v>
      </c>
      <c r="F12" s="61"/>
      <c r="G12" s="60">
        <v>0</v>
      </c>
      <c r="H12" s="61"/>
      <c r="I12" s="60">
        <v>0</v>
      </c>
      <c r="J12" s="61"/>
      <c r="K12" s="60">
        <v>0</v>
      </c>
      <c r="L12" s="61"/>
      <c r="M12" s="60">
        <v>0</v>
      </c>
      <c r="N12" s="61"/>
      <c r="O12" s="60">
        <f t="shared" si="0"/>
        <v>0</v>
      </c>
      <c r="P12" s="61"/>
      <c r="Q12" s="62"/>
    </row>
    <row r="13" spans="1:20" x14ac:dyDescent="0.25">
      <c r="A13" s="38"/>
      <c r="B13" s="57"/>
      <c r="C13" s="60">
        <v>0</v>
      </c>
      <c r="D13" s="61"/>
      <c r="E13" s="60">
        <v>0</v>
      </c>
      <c r="F13" s="61"/>
      <c r="G13" s="60">
        <v>0</v>
      </c>
      <c r="H13" s="61"/>
      <c r="I13" s="60">
        <v>0</v>
      </c>
      <c r="J13" s="61"/>
      <c r="K13" s="60">
        <v>0</v>
      </c>
      <c r="L13" s="61"/>
      <c r="M13" s="60">
        <v>0</v>
      </c>
      <c r="N13" s="61"/>
      <c r="O13" s="60">
        <f t="shared" si="0"/>
        <v>0</v>
      </c>
      <c r="P13" s="61"/>
      <c r="Q13" s="62"/>
    </row>
    <row r="14" spans="1:20" ht="6.75" customHeight="1" x14ac:dyDescent="0.25">
      <c r="B14" s="4"/>
      <c r="C14" s="58"/>
      <c r="E14" s="58"/>
      <c r="G14" s="58"/>
      <c r="I14" s="58"/>
      <c r="K14" s="58"/>
      <c r="M14" s="58"/>
      <c r="O14" s="58"/>
    </row>
    <row r="15" spans="1:20" s="4" customFormat="1" ht="15.75" x14ac:dyDescent="0.25">
      <c r="A15" s="66" t="s">
        <v>32</v>
      </c>
      <c r="B15" s="3"/>
      <c r="C15" s="14">
        <f>SUM(C7:C13)</f>
        <v>5924.94</v>
      </c>
      <c r="D15" s="32"/>
      <c r="E15" s="14">
        <f>SUM(E7:E13)</f>
        <v>0</v>
      </c>
      <c r="F15" s="32"/>
      <c r="G15" s="14">
        <f>SUM(G7:G13)</f>
        <v>0</v>
      </c>
      <c r="H15" s="32"/>
      <c r="I15" s="14">
        <f>SUM(I7:I13)</f>
        <v>0</v>
      </c>
      <c r="J15" s="32"/>
      <c r="K15" s="14">
        <f>SUM(K7:K13)</f>
        <v>0</v>
      </c>
      <c r="L15" s="32"/>
      <c r="M15" s="14">
        <f>SUM(M7:M13)</f>
        <v>0</v>
      </c>
      <c r="N15" s="32"/>
      <c r="O15" s="14">
        <f>SUM(O7:O14)</f>
        <v>5924.94</v>
      </c>
      <c r="P15" s="32"/>
    </row>
  </sheetData>
  <mergeCells count="2">
    <mergeCell ref="A1:O1"/>
    <mergeCell ref="A2:O2"/>
  </mergeCells>
  <pageMargins left="0" right="0" top="0" bottom="0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topLeftCell="A4" zoomScale="91" zoomScaleNormal="91" workbookViewId="0">
      <selection activeCell="E19" sqref="E19"/>
    </sheetView>
  </sheetViews>
  <sheetFormatPr defaultRowHeight="15" x14ac:dyDescent="0.25"/>
  <cols>
    <col min="1" max="1" width="16.42578125" bestFit="1" customWidth="1"/>
    <col min="2" max="2" width="7.7109375" bestFit="1" customWidth="1"/>
    <col min="3" max="3" width="3.85546875" customWidth="1"/>
    <col min="4" max="4" width="18.28515625" customWidth="1"/>
    <col min="5" max="5" width="0.7109375" style="31" customWidth="1"/>
    <col min="6" max="6" width="7.42578125" style="31" customWidth="1"/>
    <col min="7" max="7" width="17.85546875" customWidth="1"/>
    <col min="8" max="8" width="5.7109375" style="31" customWidth="1"/>
    <col min="9" max="9" width="17.28515625" customWidth="1"/>
    <col min="10" max="10" width="0.85546875" style="31" customWidth="1"/>
    <col min="11" max="11" width="19.28515625" customWidth="1"/>
    <col min="12" max="12" width="0.7109375" style="31" customWidth="1"/>
  </cols>
  <sheetData>
    <row r="2" spans="1:16" ht="31.5" customHeight="1" x14ac:dyDescent="0.5">
      <c r="B2" s="305" t="s">
        <v>50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</row>
    <row r="3" spans="1:16" ht="23.25" x14ac:dyDescent="0.35">
      <c r="B3" s="306" t="s">
        <v>51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</row>
    <row r="5" spans="1:16" s="4" customFormat="1" x14ac:dyDescent="0.25">
      <c r="D5" s="36" t="s">
        <v>56</v>
      </c>
      <c r="E5" s="32"/>
      <c r="F5" s="32"/>
      <c r="G5" s="36" t="s">
        <v>57</v>
      </c>
      <c r="H5" s="32"/>
      <c r="I5" s="36" t="s">
        <v>58</v>
      </c>
      <c r="J5" s="32"/>
      <c r="K5" s="3"/>
      <c r="L5" s="32"/>
    </row>
    <row r="6" spans="1:16" s="3" customFormat="1" x14ac:dyDescent="0.25">
      <c r="D6" s="3">
        <v>610779753</v>
      </c>
      <c r="E6" s="33"/>
      <c r="F6" s="33"/>
      <c r="G6" s="3">
        <v>611302438</v>
      </c>
      <c r="H6" s="33"/>
      <c r="I6" s="3">
        <v>613390199</v>
      </c>
      <c r="J6" s="33"/>
      <c r="L6" s="33"/>
    </row>
    <row r="7" spans="1:16" s="3" customFormat="1" x14ac:dyDescent="0.25">
      <c r="E7" s="33"/>
      <c r="F7" s="33"/>
      <c r="H7" s="33"/>
      <c r="J7" s="33"/>
      <c r="K7" s="37" t="s">
        <v>32</v>
      </c>
      <c r="L7" s="33"/>
    </row>
    <row r="8" spans="1:16" s="2" customFormat="1" x14ac:dyDescent="0.25">
      <c r="B8" s="3" t="s">
        <v>38</v>
      </c>
      <c r="D8" s="1">
        <v>0</v>
      </c>
      <c r="E8" s="34"/>
      <c r="F8" s="34"/>
      <c r="G8" s="1">
        <v>0</v>
      </c>
      <c r="H8" s="34"/>
      <c r="I8" s="1">
        <v>0</v>
      </c>
      <c r="J8" s="34"/>
      <c r="K8" s="1">
        <f>SUM(D8:I8)</f>
        <v>0</v>
      </c>
      <c r="L8" s="34"/>
    </row>
    <row r="9" spans="1:16" x14ac:dyDescent="0.25">
      <c r="B9" s="3" t="s">
        <v>39</v>
      </c>
      <c r="D9" s="1">
        <f>SUM(D28)</f>
        <v>2798.0299999999997</v>
      </c>
      <c r="E9" s="34"/>
      <c r="F9" s="34"/>
      <c r="G9" s="1">
        <f>SUM(G28)</f>
        <v>3042.7700000000004</v>
      </c>
      <c r="H9" s="34"/>
      <c r="I9" s="1">
        <f>SUM(I28)</f>
        <v>1007.35</v>
      </c>
      <c r="J9" s="34"/>
      <c r="K9" s="1">
        <f>SUM(D9:I9)</f>
        <v>6848.1500000000005</v>
      </c>
      <c r="L9" s="34"/>
    </row>
    <row r="10" spans="1:16" s="8" customFormat="1" ht="12.75" customHeight="1" x14ac:dyDescent="0.25">
      <c r="A10" s="37" t="s">
        <v>59</v>
      </c>
      <c r="D10" s="28">
        <f>SUM(D8-D9)</f>
        <v>-2798.0299999999997</v>
      </c>
      <c r="E10" s="35"/>
      <c r="F10" s="35"/>
      <c r="G10" s="28">
        <f>SUM(G8-G9)</f>
        <v>-3042.7700000000004</v>
      </c>
      <c r="H10" s="35"/>
      <c r="I10" s="28">
        <f>SUM(I8-I9)</f>
        <v>-1007.35</v>
      </c>
      <c r="J10" s="35"/>
      <c r="K10" s="28">
        <f>SUM(K8-K9)</f>
        <v>-6848.1500000000005</v>
      </c>
      <c r="L10" s="35"/>
    </row>
    <row r="11" spans="1:16" x14ac:dyDescent="0.25">
      <c r="A11" s="20">
        <v>6021020</v>
      </c>
      <c r="B11" s="29" t="s">
        <v>22</v>
      </c>
      <c r="D11" s="1">
        <v>0</v>
      </c>
      <c r="G11" s="1">
        <v>0</v>
      </c>
      <c r="H11" s="31" t="s">
        <v>202</v>
      </c>
      <c r="I11" s="1">
        <v>501.17</v>
      </c>
      <c r="K11" s="1">
        <f>SUM(D11:I11)</f>
        <v>501.17</v>
      </c>
    </row>
    <row r="12" spans="1:16" x14ac:dyDescent="0.25">
      <c r="A12" s="38">
        <v>6021020</v>
      </c>
      <c r="B12" s="29" t="s">
        <v>23</v>
      </c>
      <c r="D12" s="1">
        <v>0</v>
      </c>
      <c r="G12" s="1">
        <v>0</v>
      </c>
      <c r="I12" s="40">
        <v>506.18</v>
      </c>
      <c r="K12" s="1">
        <f t="shared" ref="K12:K26" si="0">SUM(D12:I12)</f>
        <v>506.18</v>
      </c>
    </row>
    <row r="13" spans="1:16" x14ac:dyDescent="0.25">
      <c r="A13" s="38">
        <v>6021020</v>
      </c>
      <c r="B13" s="29" t="s">
        <v>24</v>
      </c>
      <c r="D13" s="1">
        <v>0</v>
      </c>
      <c r="G13" s="1">
        <v>0</v>
      </c>
      <c r="I13" s="1">
        <v>0</v>
      </c>
      <c r="K13" s="1">
        <f t="shared" si="0"/>
        <v>0</v>
      </c>
    </row>
    <row r="14" spans="1:16" x14ac:dyDescent="0.25">
      <c r="A14" s="38">
        <v>6021020</v>
      </c>
      <c r="B14" s="29" t="s">
        <v>25</v>
      </c>
      <c r="D14" s="1">
        <v>0</v>
      </c>
      <c r="G14" s="1">
        <v>0</v>
      </c>
      <c r="I14" s="1">
        <v>0</v>
      </c>
      <c r="K14" s="1">
        <f t="shared" si="0"/>
        <v>0</v>
      </c>
    </row>
    <row r="15" spans="1:16" x14ac:dyDescent="0.25">
      <c r="A15" s="38">
        <v>6021020</v>
      </c>
      <c r="B15" s="29" t="s">
        <v>26</v>
      </c>
      <c r="D15" s="1">
        <v>0</v>
      </c>
      <c r="G15" s="1">
        <v>0</v>
      </c>
      <c r="I15" s="1">
        <v>0</v>
      </c>
      <c r="K15" s="1">
        <f t="shared" si="0"/>
        <v>0</v>
      </c>
    </row>
    <row r="16" spans="1:16" x14ac:dyDescent="0.25">
      <c r="A16" s="38">
        <v>6021020</v>
      </c>
      <c r="B16" s="29" t="s">
        <v>27</v>
      </c>
      <c r="D16" s="1">
        <v>0</v>
      </c>
      <c r="G16" s="1">
        <v>0</v>
      </c>
      <c r="I16" s="1">
        <v>0</v>
      </c>
      <c r="K16" s="1">
        <f t="shared" si="0"/>
        <v>0</v>
      </c>
    </row>
    <row r="17" spans="1:12" x14ac:dyDescent="0.25">
      <c r="A17" s="38">
        <v>6021020</v>
      </c>
      <c r="B17" s="29" t="s">
        <v>28</v>
      </c>
      <c r="D17" s="1">
        <v>0</v>
      </c>
      <c r="G17" s="1">
        <v>0</v>
      </c>
      <c r="I17" s="1">
        <v>0</v>
      </c>
      <c r="K17" s="1">
        <f t="shared" si="0"/>
        <v>0</v>
      </c>
    </row>
    <row r="18" spans="1:12" x14ac:dyDescent="0.25">
      <c r="A18" s="38">
        <v>6021020</v>
      </c>
      <c r="B18" s="29" t="s">
        <v>29</v>
      </c>
      <c r="D18" s="1">
        <v>0</v>
      </c>
      <c r="G18" s="1">
        <v>0</v>
      </c>
      <c r="I18" s="1">
        <v>0</v>
      </c>
      <c r="K18" s="1">
        <f t="shared" si="0"/>
        <v>0</v>
      </c>
    </row>
    <row r="19" spans="1:12" x14ac:dyDescent="0.25">
      <c r="A19" s="38">
        <v>6021020</v>
      </c>
      <c r="B19" s="29" t="s">
        <v>30</v>
      </c>
      <c r="D19" s="1">
        <v>0</v>
      </c>
      <c r="G19" s="1">
        <v>0</v>
      </c>
      <c r="I19" s="1">
        <v>0</v>
      </c>
      <c r="K19" s="1">
        <f t="shared" si="0"/>
        <v>0</v>
      </c>
    </row>
    <row r="20" spans="1:12" x14ac:dyDescent="0.25">
      <c r="A20" s="38">
        <v>6021020</v>
      </c>
      <c r="B20" s="29" t="s">
        <v>31</v>
      </c>
      <c r="D20" s="1">
        <v>0</v>
      </c>
      <c r="F20" t="s">
        <v>189</v>
      </c>
      <c r="G20" s="1">
        <v>602.49</v>
      </c>
      <c r="I20" s="1">
        <v>0</v>
      </c>
      <c r="K20" s="1">
        <f t="shared" si="0"/>
        <v>602.49</v>
      </c>
    </row>
    <row r="21" spans="1:12" x14ac:dyDescent="0.25">
      <c r="A21" s="38">
        <v>6021020</v>
      </c>
      <c r="B21" s="29" t="s">
        <v>36</v>
      </c>
      <c r="C21" t="s">
        <v>187</v>
      </c>
      <c r="D21" s="1">
        <f>547.38</f>
        <v>547.38</v>
      </c>
      <c r="F21" t="s">
        <v>189</v>
      </c>
      <c r="G21" s="1">
        <v>602.49</v>
      </c>
      <c r="I21" s="1">
        <v>0</v>
      </c>
      <c r="K21" s="1">
        <f t="shared" si="0"/>
        <v>1149.8699999999999</v>
      </c>
    </row>
    <row r="22" spans="1:12" x14ac:dyDescent="0.25">
      <c r="A22" s="38">
        <v>6021020</v>
      </c>
      <c r="B22" s="29" t="s">
        <v>37</v>
      </c>
      <c r="C22" t="s">
        <v>187</v>
      </c>
      <c r="D22" s="1">
        <f>552.21</f>
        <v>552.21</v>
      </c>
      <c r="F22" s="31" t="s">
        <v>190</v>
      </c>
      <c r="G22" s="1">
        <v>607.02</v>
      </c>
      <c r="I22" s="1">
        <v>0</v>
      </c>
      <c r="K22" s="1">
        <f t="shared" si="0"/>
        <v>1159.23</v>
      </c>
    </row>
    <row r="23" spans="1:12" x14ac:dyDescent="0.25">
      <c r="A23" s="38">
        <v>6021020</v>
      </c>
      <c r="B23" s="29" t="s">
        <v>52</v>
      </c>
      <c r="C23" t="s">
        <v>189</v>
      </c>
      <c r="D23" s="1">
        <v>0</v>
      </c>
      <c r="F23" s="31" t="s">
        <v>202</v>
      </c>
      <c r="G23" s="1">
        <v>612.76</v>
      </c>
      <c r="I23" s="1">
        <v>0</v>
      </c>
      <c r="K23" s="1">
        <f t="shared" si="0"/>
        <v>612.76</v>
      </c>
    </row>
    <row r="24" spans="1:12" x14ac:dyDescent="0.25">
      <c r="A24" s="38">
        <v>6021020</v>
      </c>
      <c r="B24" s="29" t="s">
        <v>53</v>
      </c>
      <c r="C24" t="s">
        <v>190</v>
      </c>
      <c r="D24" s="1">
        <v>561.05999999999995</v>
      </c>
      <c r="G24" s="40">
        <v>618.01</v>
      </c>
      <c r="I24" s="1">
        <v>0</v>
      </c>
      <c r="K24" s="1">
        <f t="shared" si="0"/>
        <v>1179.07</v>
      </c>
    </row>
    <row r="25" spans="1:12" x14ac:dyDescent="0.25">
      <c r="A25" s="38">
        <v>6021020</v>
      </c>
      <c r="B25" s="29" t="s">
        <v>54</v>
      </c>
      <c r="C25" t="s">
        <v>191</v>
      </c>
      <c r="D25" s="1">
        <v>566.29999999999995</v>
      </c>
      <c r="G25" s="1">
        <v>0</v>
      </c>
      <c r="I25" s="1">
        <v>0</v>
      </c>
      <c r="K25" s="1">
        <f t="shared" si="0"/>
        <v>566.29999999999995</v>
      </c>
    </row>
    <row r="26" spans="1:12" x14ac:dyDescent="0.25">
      <c r="A26" s="38">
        <v>6021020</v>
      </c>
      <c r="B26" s="29" t="s">
        <v>55</v>
      </c>
      <c r="C26" t="s">
        <v>188</v>
      </c>
      <c r="D26" s="1">
        <v>571.08000000000004</v>
      </c>
      <c r="G26" s="1">
        <v>0</v>
      </c>
      <c r="I26" s="1">
        <v>0</v>
      </c>
      <c r="K26" s="1">
        <f t="shared" si="0"/>
        <v>571.08000000000004</v>
      </c>
    </row>
    <row r="27" spans="1:12" ht="6.75" customHeight="1" x14ac:dyDescent="0.25">
      <c r="B27" s="4"/>
      <c r="D27" s="30"/>
      <c r="G27" s="30"/>
      <c r="I27" s="30"/>
      <c r="K27" s="30"/>
    </row>
    <row r="28" spans="1:12" s="4" customFormat="1" x14ac:dyDescent="0.25">
      <c r="A28" s="27"/>
      <c r="B28" s="3" t="s">
        <v>32</v>
      </c>
      <c r="D28" s="14">
        <f>SUM(D11:D26)</f>
        <v>2798.0299999999997</v>
      </c>
      <c r="E28" s="32"/>
      <c r="F28" s="32"/>
      <c r="G28" s="14">
        <f>SUM(G11:G26)</f>
        <v>3042.7700000000004</v>
      </c>
      <c r="H28" s="32"/>
      <c r="I28" s="14">
        <f>SUM(I11:I26)</f>
        <v>1007.35</v>
      </c>
      <c r="J28" s="32"/>
      <c r="K28" s="14">
        <f>SUM(D28:I28)</f>
        <v>6848.1500000000005</v>
      </c>
      <c r="L28" s="32"/>
    </row>
  </sheetData>
  <mergeCells count="2">
    <mergeCell ref="B2:P2"/>
    <mergeCell ref="B3:P3"/>
  </mergeCells>
  <pageMargins left="0" right="0" top="0" bottom="0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9"/>
  <sheetViews>
    <sheetView topLeftCell="E1" zoomScale="91" zoomScaleNormal="91" workbookViewId="0">
      <selection activeCell="E19" sqref="E19"/>
    </sheetView>
  </sheetViews>
  <sheetFormatPr defaultRowHeight="15" x14ac:dyDescent="0.25"/>
  <cols>
    <col min="1" max="1" width="14.85546875" bestFit="1" customWidth="1"/>
    <col min="2" max="2" width="7.7109375" bestFit="1" customWidth="1"/>
    <col min="3" max="3" width="0.7109375" customWidth="1"/>
    <col min="4" max="4" width="14.85546875" bestFit="1" customWidth="1"/>
    <col min="5" max="5" width="0.7109375" customWidth="1"/>
    <col min="6" max="6" width="14.85546875" bestFit="1" customWidth="1"/>
    <col min="7" max="7" width="0.85546875" customWidth="1"/>
    <col min="9" max="9" width="0.85546875" customWidth="1"/>
    <col min="10" max="10" width="14.85546875" bestFit="1" customWidth="1"/>
    <col min="11" max="11" width="0.7109375" customWidth="1"/>
    <col min="12" max="12" width="13.7109375" bestFit="1" customWidth="1"/>
    <col min="13" max="13" width="0.7109375" customWidth="1"/>
    <col min="14" max="14" width="13.7109375" bestFit="1" customWidth="1"/>
    <col min="15" max="15" width="0.7109375" customWidth="1"/>
    <col min="17" max="17" width="0.85546875" customWidth="1"/>
    <col min="18" max="18" width="12.5703125" bestFit="1" customWidth="1"/>
    <col min="19" max="19" width="0.85546875" customWidth="1"/>
    <col min="20" max="20" width="13.7109375" bestFit="1" customWidth="1"/>
    <col min="21" max="21" width="0.85546875" customWidth="1"/>
    <col min="23" max="23" width="0.7109375" customWidth="1"/>
    <col min="24" max="24" width="13.7109375" bestFit="1" customWidth="1"/>
    <col min="25" max="25" width="0.7109375" customWidth="1"/>
    <col min="26" max="26" width="13.7109375" bestFit="1" customWidth="1"/>
    <col min="27" max="27" width="0.5703125" customWidth="1"/>
    <col min="29" max="29" width="0.5703125" customWidth="1"/>
    <col min="30" max="30" width="10.28515625" bestFit="1" customWidth="1"/>
    <col min="31" max="31" width="0.5703125" customWidth="1"/>
    <col min="32" max="32" width="11.42578125" bestFit="1" customWidth="1"/>
    <col min="33" max="33" width="0.7109375" customWidth="1"/>
    <col min="34" max="34" width="14.85546875" bestFit="1" customWidth="1"/>
  </cols>
  <sheetData>
    <row r="2" spans="1:34" ht="31.5" x14ac:dyDescent="0.5">
      <c r="F2" s="305" t="s">
        <v>35</v>
      </c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</row>
    <row r="3" spans="1:34" ht="28.5" x14ac:dyDescent="0.45">
      <c r="L3" s="309" t="s">
        <v>33</v>
      </c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</row>
    <row r="4" spans="1:34" ht="28.5" x14ac:dyDescent="0.45">
      <c r="L4" s="15"/>
      <c r="M4" s="15"/>
      <c r="N4" s="310" t="s">
        <v>34</v>
      </c>
      <c r="O4" s="310"/>
      <c r="P4" s="310"/>
      <c r="Q4" s="310"/>
      <c r="R4" s="310"/>
      <c r="S4" s="310"/>
      <c r="T4" s="310"/>
      <c r="U4" s="310"/>
      <c r="V4" s="310"/>
      <c r="W4" s="15"/>
      <c r="X4" s="15"/>
    </row>
    <row r="5" spans="1:34" s="4" customFormat="1" ht="23.25" x14ac:dyDescent="0.35">
      <c r="H5" s="3" t="s">
        <v>5</v>
      </c>
      <c r="J5" s="3" t="s">
        <v>43</v>
      </c>
      <c r="N5" s="16">
        <v>6</v>
      </c>
      <c r="O5" s="17"/>
      <c r="P5" s="17"/>
      <c r="Q5" s="17"/>
      <c r="R5" s="16">
        <v>3</v>
      </c>
      <c r="S5" s="17"/>
      <c r="T5" s="17"/>
      <c r="U5" s="17"/>
      <c r="V5" s="17"/>
      <c r="W5" s="18"/>
      <c r="X5" s="18"/>
      <c r="Y5" s="18"/>
      <c r="Z5" s="16">
        <v>3</v>
      </c>
      <c r="AB5" s="4" t="s">
        <v>16</v>
      </c>
      <c r="AD5" s="4" t="s">
        <v>18</v>
      </c>
    </row>
    <row r="6" spans="1:34" s="3" customFormat="1" x14ac:dyDescent="0.25">
      <c r="D6" s="3" t="s">
        <v>41</v>
      </c>
      <c r="F6" s="3" t="s">
        <v>42</v>
      </c>
      <c r="H6" s="3" t="s">
        <v>6</v>
      </c>
      <c r="J6" s="3" t="s">
        <v>8</v>
      </c>
      <c r="L6" s="3" t="s">
        <v>10</v>
      </c>
      <c r="N6" s="3" t="s">
        <v>12</v>
      </c>
      <c r="P6" s="3" t="s">
        <v>14</v>
      </c>
      <c r="R6" s="3" t="s">
        <v>0</v>
      </c>
      <c r="T6" s="3" t="s">
        <v>1</v>
      </c>
      <c r="V6" s="3" t="s">
        <v>2</v>
      </c>
      <c r="X6" s="3" t="s">
        <v>3</v>
      </c>
      <c r="Z6" s="3" t="s">
        <v>15</v>
      </c>
      <c r="AB6" s="3" t="s">
        <v>17</v>
      </c>
      <c r="AD6" s="3" t="s">
        <v>19</v>
      </c>
      <c r="AF6" s="3" t="s">
        <v>21</v>
      </c>
    </row>
    <row r="7" spans="1:34" s="3" customFormat="1" x14ac:dyDescent="0.25">
      <c r="D7" s="3" t="s">
        <v>40</v>
      </c>
      <c r="F7" s="3" t="s">
        <v>6</v>
      </c>
      <c r="H7" s="3" t="s">
        <v>7</v>
      </c>
      <c r="J7" s="3" t="s">
        <v>9</v>
      </c>
      <c r="L7" s="3" t="s">
        <v>11</v>
      </c>
      <c r="N7" s="3" t="s">
        <v>13</v>
      </c>
      <c r="AB7" s="3" t="s">
        <v>4</v>
      </c>
      <c r="AD7" s="3" t="s">
        <v>20</v>
      </c>
    </row>
    <row r="8" spans="1:34" s="2" customFormat="1" x14ac:dyDescent="0.25">
      <c r="B8" s="3" t="s">
        <v>38</v>
      </c>
      <c r="D8" s="1">
        <v>221100</v>
      </c>
      <c r="E8" s="1"/>
      <c r="F8" s="1">
        <v>176000</v>
      </c>
      <c r="G8" s="1"/>
      <c r="H8" s="1">
        <v>0</v>
      </c>
      <c r="I8" s="1"/>
      <c r="J8" s="1">
        <v>167000</v>
      </c>
      <c r="K8" s="1"/>
      <c r="L8" s="1">
        <v>90000</v>
      </c>
      <c r="M8" s="1"/>
      <c r="N8" s="1">
        <v>18000</v>
      </c>
      <c r="O8" s="1"/>
      <c r="P8" s="1">
        <v>0</v>
      </c>
      <c r="Q8" s="1"/>
      <c r="R8" s="1">
        <v>3200</v>
      </c>
      <c r="S8" s="1"/>
      <c r="T8" s="1">
        <v>49500</v>
      </c>
      <c r="U8" s="1"/>
      <c r="V8" s="1">
        <v>0</v>
      </c>
      <c r="W8"/>
      <c r="X8" s="1">
        <v>54000</v>
      </c>
      <c r="Y8"/>
      <c r="Z8" s="1">
        <v>64200</v>
      </c>
      <c r="AA8"/>
      <c r="AB8" s="1">
        <v>0</v>
      </c>
      <c r="AC8"/>
      <c r="AD8" s="1">
        <v>0</v>
      </c>
      <c r="AE8"/>
      <c r="AF8" s="1">
        <v>0</v>
      </c>
      <c r="AH8" s="10">
        <f>SUM(D8:AF8)</f>
        <v>843000</v>
      </c>
    </row>
    <row r="9" spans="1:34" x14ac:dyDescent="0.25">
      <c r="B9" s="3" t="s">
        <v>39</v>
      </c>
      <c r="D9" s="1">
        <f>SUM(D24)</f>
        <v>0</v>
      </c>
      <c r="E9" s="1"/>
      <c r="F9" s="1">
        <v>0</v>
      </c>
      <c r="G9" s="1"/>
      <c r="H9" s="1">
        <v>0</v>
      </c>
      <c r="I9" s="1"/>
      <c r="J9" s="1">
        <v>0</v>
      </c>
      <c r="K9" s="1"/>
      <c r="L9" s="1">
        <v>0</v>
      </c>
      <c r="M9" s="1"/>
      <c r="N9" s="1">
        <v>0</v>
      </c>
      <c r="O9" s="1"/>
      <c r="P9" s="1">
        <v>0</v>
      </c>
      <c r="Q9" s="1"/>
      <c r="R9" s="1">
        <v>0</v>
      </c>
      <c r="S9" s="1"/>
      <c r="T9" s="1">
        <v>0</v>
      </c>
      <c r="U9" s="1"/>
      <c r="V9" s="1">
        <v>0</v>
      </c>
      <c r="X9" s="1">
        <v>0</v>
      </c>
      <c r="Z9" s="1">
        <v>0</v>
      </c>
      <c r="AB9" s="1">
        <v>0</v>
      </c>
      <c r="AD9" s="1">
        <v>0</v>
      </c>
      <c r="AF9" s="1">
        <v>0</v>
      </c>
      <c r="AH9" s="10">
        <f>SUM(D9:AF9)</f>
        <v>0</v>
      </c>
    </row>
    <row r="10" spans="1:34" s="8" customFormat="1" ht="12.75" customHeight="1" x14ac:dyDescent="0.25">
      <c r="D10" s="12">
        <f>SUM(D8-D9)</f>
        <v>221100</v>
      </c>
      <c r="E10" s="13"/>
      <c r="F10" s="12">
        <f>SUM(F8-F9)</f>
        <v>176000</v>
      </c>
      <c r="G10" s="13"/>
      <c r="H10" s="12">
        <f>SUM(H8-H9)</f>
        <v>0</v>
      </c>
      <c r="I10" s="13"/>
      <c r="J10" s="12">
        <f>SUM(J8-J9)</f>
        <v>167000</v>
      </c>
      <c r="K10" s="13"/>
      <c r="L10" s="12">
        <f>SUM(L8-L9)</f>
        <v>90000</v>
      </c>
      <c r="M10" s="13"/>
      <c r="N10" s="12">
        <f>SUM(N8-N9)</f>
        <v>18000</v>
      </c>
      <c r="O10" s="13"/>
      <c r="P10" s="12">
        <f>SUM(P8-P9)</f>
        <v>0</v>
      </c>
      <c r="Q10" s="13"/>
      <c r="R10" s="12">
        <f>SUM(R8-R9)</f>
        <v>3200</v>
      </c>
      <c r="S10" s="13"/>
      <c r="T10" s="12">
        <f>SUM(T8-T9)</f>
        <v>49500</v>
      </c>
      <c r="U10" s="13"/>
      <c r="V10" s="12">
        <f>SUM(V8-V9)</f>
        <v>0</v>
      </c>
      <c r="W10" s="13"/>
      <c r="X10" s="12">
        <f>SUM(X8-X9)</f>
        <v>54000</v>
      </c>
      <c r="Y10" s="13"/>
      <c r="Z10" s="12">
        <f>SUM(Z8-Z9)</f>
        <v>64200</v>
      </c>
      <c r="AA10" s="13"/>
      <c r="AB10" s="12">
        <f>SUM(AB8-AB9)</f>
        <v>0</v>
      </c>
      <c r="AC10" s="13"/>
      <c r="AD10" s="12">
        <f>SUM(AD8-AD9)</f>
        <v>0</v>
      </c>
      <c r="AE10" s="13"/>
      <c r="AF10" s="12">
        <f>SUM(AF8-AF9)</f>
        <v>0</v>
      </c>
      <c r="AH10" s="10">
        <f>SUM(D10:AF10)</f>
        <v>843000</v>
      </c>
    </row>
    <row r="11" spans="1:34" x14ac:dyDescent="0.25">
      <c r="A11" s="1"/>
      <c r="B11" s="9" t="s">
        <v>22</v>
      </c>
      <c r="D11" s="1">
        <v>0</v>
      </c>
      <c r="F11" s="1">
        <v>0</v>
      </c>
      <c r="H11" s="1">
        <v>0</v>
      </c>
      <c r="J11" s="1">
        <v>0</v>
      </c>
      <c r="L11" s="1">
        <v>0</v>
      </c>
      <c r="N11" s="1">
        <v>0</v>
      </c>
      <c r="P11" s="1">
        <v>0</v>
      </c>
      <c r="R11" s="1">
        <v>0</v>
      </c>
      <c r="T11" s="1">
        <v>0</v>
      </c>
      <c r="V11" s="1">
        <v>0</v>
      </c>
      <c r="X11" s="1">
        <v>0</v>
      </c>
      <c r="Z11" s="1">
        <v>0</v>
      </c>
      <c r="AB11" s="1">
        <v>0</v>
      </c>
      <c r="AD11" s="1">
        <v>0</v>
      </c>
      <c r="AF11" s="1">
        <v>0</v>
      </c>
      <c r="AH11" s="11">
        <f>SUM(D11:AF11)</f>
        <v>0</v>
      </c>
    </row>
    <row r="12" spans="1:34" x14ac:dyDescent="0.25">
      <c r="A12" s="1">
        <v>70250</v>
      </c>
      <c r="B12" s="9" t="s">
        <v>23</v>
      </c>
      <c r="D12" s="1">
        <v>0</v>
      </c>
      <c r="F12" s="1">
        <v>0</v>
      </c>
      <c r="H12" s="1">
        <v>0</v>
      </c>
      <c r="J12" s="1">
        <v>0</v>
      </c>
      <c r="L12" s="1">
        <v>0</v>
      </c>
      <c r="N12" s="1">
        <v>0</v>
      </c>
      <c r="P12" s="1">
        <v>0</v>
      </c>
      <c r="R12" s="1">
        <v>0</v>
      </c>
      <c r="T12" s="1">
        <v>0</v>
      </c>
      <c r="V12" s="1">
        <v>0</v>
      </c>
      <c r="X12" s="1">
        <v>0</v>
      </c>
      <c r="Z12" s="1">
        <v>0</v>
      </c>
      <c r="AB12" s="1">
        <v>0</v>
      </c>
      <c r="AD12" s="1">
        <v>0</v>
      </c>
      <c r="AF12" s="1">
        <v>0</v>
      </c>
      <c r="AH12" s="11">
        <f t="shared" ref="AH12:AH22" si="0">SUM(D12:AF12)</f>
        <v>0</v>
      </c>
    </row>
    <row r="13" spans="1:34" x14ac:dyDescent="0.25">
      <c r="A13" s="1">
        <v>70250</v>
      </c>
      <c r="B13" s="9" t="s">
        <v>24</v>
      </c>
      <c r="D13" s="1">
        <v>0</v>
      </c>
      <c r="F13" s="1">
        <v>0</v>
      </c>
      <c r="H13" s="1">
        <v>0</v>
      </c>
      <c r="J13" s="1">
        <v>0</v>
      </c>
      <c r="L13" s="1">
        <v>0</v>
      </c>
      <c r="N13" s="1">
        <v>0</v>
      </c>
      <c r="P13" s="1">
        <v>0</v>
      </c>
      <c r="R13" s="1">
        <v>0</v>
      </c>
      <c r="T13" s="1">
        <v>0</v>
      </c>
      <c r="V13" s="1">
        <v>0</v>
      </c>
      <c r="X13" s="1">
        <v>0</v>
      </c>
      <c r="Z13" s="1">
        <v>0</v>
      </c>
      <c r="AB13" s="1">
        <v>0</v>
      </c>
      <c r="AD13" s="1">
        <v>0</v>
      </c>
      <c r="AF13" s="1">
        <v>0</v>
      </c>
      <c r="AH13" s="11">
        <f t="shared" si="0"/>
        <v>0</v>
      </c>
    </row>
    <row r="14" spans="1:34" x14ac:dyDescent="0.25">
      <c r="A14" s="1">
        <v>70250</v>
      </c>
      <c r="B14" s="9" t="s">
        <v>25</v>
      </c>
      <c r="D14" s="1">
        <v>0</v>
      </c>
      <c r="F14" s="1">
        <v>0</v>
      </c>
      <c r="H14" s="1">
        <v>0</v>
      </c>
      <c r="J14" s="1">
        <v>0</v>
      </c>
      <c r="L14" s="1">
        <v>0</v>
      </c>
      <c r="N14" s="1">
        <v>0</v>
      </c>
      <c r="P14" s="1">
        <v>0</v>
      </c>
      <c r="R14" s="1">
        <v>0</v>
      </c>
      <c r="T14" s="1">
        <v>0</v>
      </c>
      <c r="V14" s="1">
        <v>0</v>
      </c>
      <c r="X14" s="1">
        <v>0</v>
      </c>
      <c r="Z14" s="1">
        <v>0</v>
      </c>
      <c r="AB14" s="1">
        <v>0</v>
      </c>
      <c r="AD14" s="1">
        <v>0</v>
      </c>
      <c r="AF14" s="1">
        <v>0</v>
      </c>
      <c r="AH14" s="11">
        <f t="shared" si="0"/>
        <v>0</v>
      </c>
    </row>
    <row r="15" spans="1:34" x14ac:dyDescent="0.25">
      <c r="A15" s="1">
        <v>70250</v>
      </c>
      <c r="B15" s="9" t="s">
        <v>26</v>
      </c>
      <c r="D15" s="1">
        <v>0</v>
      </c>
      <c r="F15" s="1">
        <v>0</v>
      </c>
      <c r="H15" s="1">
        <v>0</v>
      </c>
      <c r="J15" s="1">
        <v>0</v>
      </c>
      <c r="L15" s="1">
        <v>0</v>
      </c>
      <c r="N15" s="1">
        <v>0</v>
      </c>
      <c r="P15" s="1">
        <v>0</v>
      </c>
      <c r="R15" s="1">
        <v>0</v>
      </c>
      <c r="T15" s="1">
        <v>0</v>
      </c>
      <c r="V15" s="1">
        <v>0</v>
      </c>
      <c r="X15" s="1">
        <v>0</v>
      </c>
      <c r="Z15" s="1">
        <v>0</v>
      </c>
      <c r="AB15" s="1">
        <v>0</v>
      </c>
      <c r="AD15" s="1">
        <v>0</v>
      </c>
      <c r="AF15" s="1">
        <v>0</v>
      </c>
      <c r="AH15" s="11">
        <f t="shared" si="0"/>
        <v>0</v>
      </c>
    </row>
    <row r="16" spans="1:34" x14ac:dyDescent="0.25">
      <c r="A16" s="1">
        <v>70250</v>
      </c>
      <c r="B16" s="9" t="s">
        <v>27</v>
      </c>
      <c r="D16" s="1">
        <v>0</v>
      </c>
      <c r="F16" s="1">
        <v>0</v>
      </c>
      <c r="H16" s="1">
        <v>0</v>
      </c>
      <c r="J16" s="1">
        <v>0</v>
      </c>
      <c r="L16" s="1">
        <v>0</v>
      </c>
      <c r="N16" s="1">
        <v>0</v>
      </c>
      <c r="P16" s="1">
        <v>0</v>
      </c>
      <c r="R16" s="1">
        <v>0</v>
      </c>
      <c r="T16" s="1">
        <v>0</v>
      </c>
      <c r="V16" s="1">
        <v>0</v>
      </c>
      <c r="X16" s="1">
        <v>0</v>
      </c>
      <c r="Z16" s="1">
        <v>0</v>
      </c>
      <c r="AB16" s="1">
        <v>0</v>
      </c>
      <c r="AD16" s="1">
        <v>0</v>
      </c>
      <c r="AF16" s="1">
        <v>0</v>
      </c>
      <c r="AH16" s="11">
        <f t="shared" si="0"/>
        <v>0</v>
      </c>
    </row>
    <row r="17" spans="1:34" x14ac:dyDescent="0.25">
      <c r="A17" s="1">
        <v>70250</v>
      </c>
      <c r="B17" s="9" t="s">
        <v>28</v>
      </c>
      <c r="D17" s="1">
        <v>0</v>
      </c>
      <c r="F17" s="1">
        <v>0</v>
      </c>
      <c r="H17" s="1">
        <v>0</v>
      </c>
      <c r="J17" s="1">
        <v>0</v>
      </c>
      <c r="L17" s="1">
        <v>0</v>
      </c>
      <c r="N17" s="1">
        <v>0</v>
      </c>
      <c r="P17" s="1">
        <v>0</v>
      </c>
      <c r="R17" s="1">
        <v>0</v>
      </c>
      <c r="T17" s="1">
        <v>0</v>
      </c>
      <c r="V17" s="1">
        <v>0</v>
      </c>
      <c r="X17" s="1">
        <v>0</v>
      </c>
      <c r="Z17" s="1">
        <v>0</v>
      </c>
      <c r="AB17" s="1">
        <v>0</v>
      </c>
      <c r="AD17" s="1">
        <v>0</v>
      </c>
      <c r="AF17" s="1">
        <v>0</v>
      </c>
      <c r="AH17" s="11">
        <f t="shared" si="0"/>
        <v>0</v>
      </c>
    </row>
    <row r="18" spans="1:34" x14ac:dyDescent="0.25">
      <c r="A18" s="1">
        <v>70250</v>
      </c>
      <c r="B18" s="9" t="s">
        <v>29</v>
      </c>
      <c r="D18" s="1">
        <v>0</v>
      </c>
      <c r="F18" s="1">
        <v>0</v>
      </c>
      <c r="H18" s="1">
        <v>0</v>
      </c>
      <c r="J18" s="1">
        <v>0</v>
      </c>
      <c r="L18" s="1">
        <v>0</v>
      </c>
      <c r="N18" s="1">
        <v>0</v>
      </c>
      <c r="P18" s="1">
        <v>0</v>
      </c>
      <c r="R18" s="1">
        <v>0</v>
      </c>
      <c r="T18" s="1">
        <v>0</v>
      </c>
      <c r="V18" s="1">
        <v>0</v>
      </c>
      <c r="X18" s="1">
        <v>0</v>
      </c>
      <c r="Z18" s="1">
        <v>0</v>
      </c>
      <c r="AB18" s="1">
        <v>0</v>
      </c>
      <c r="AD18" s="1">
        <v>0</v>
      </c>
      <c r="AF18" s="1">
        <v>0</v>
      </c>
      <c r="AH18" s="11">
        <f t="shared" si="0"/>
        <v>0</v>
      </c>
    </row>
    <row r="19" spans="1:34" x14ac:dyDescent="0.25">
      <c r="A19" s="1">
        <v>70250</v>
      </c>
      <c r="B19" s="9" t="s">
        <v>30</v>
      </c>
      <c r="D19" s="1">
        <v>0</v>
      </c>
      <c r="F19" s="1">
        <v>0</v>
      </c>
      <c r="H19" s="1">
        <v>0</v>
      </c>
      <c r="J19" s="1">
        <v>0</v>
      </c>
      <c r="L19" s="1">
        <v>0</v>
      </c>
      <c r="N19" s="1">
        <v>0</v>
      </c>
      <c r="P19" s="1">
        <v>0</v>
      </c>
      <c r="R19" s="1">
        <v>0</v>
      </c>
      <c r="T19" s="1">
        <v>0</v>
      </c>
      <c r="V19" s="1">
        <v>0</v>
      </c>
      <c r="X19" s="1">
        <v>0</v>
      </c>
      <c r="Z19" s="1">
        <v>0</v>
      </c>
      <c r="AB19" s="1">
        <v>0</v>
      </c>
      <c r="AD19" s="1">
        <v>0</v>
      </c>
      <c r="AF19" s="1">
        <v>0</v>
      </c>
      <c r="AH19" s="11">
        <f t="shared" si="0"/>
        <v>0</v>
      </c>
    </row>
    <row r="20" spans="1:34" x14ac:dyDescent="0.25">
      <c r="A20" s="1">
        <v>70250</v>
      </c>
      <c r="B20" s="9" t="s">
        <v>31</v>
      </c>
      <c r="D20" s="1">
        <v>0</v>
      </c>
      <c r="F20" s="1">
        <v>0</v>
      </c>
      <c r="H20" s="1">
        <v>0</v>
      </c>
      <c r="J20" s="1">
        <v>0</v>
      </c>
      <c r="L20" s="1">
        <v>0</v>
      </c>
      <c r="N20" s="1">
        <v>0</v>
      </c>
      <c r="P20" s="1">
        <v>0</v>
      </c>
      <c r="R20" s="1">
        <v>0</v>
      </c>
      <c r="T20" s="1">
        <v>0</v>
      </c>
      <c r="V20" s="1">
        <v>0</v>
      </c>
      <c r="X20" s="1">
        <v>0</v>
      </c>
      <c r="Z20" s="1">
        <v>0</v>
      </c>
      <c r="AB20" s="1">
        <v>0</v>
      </c>
      <c r="AD20" s="1">
        <v>0</v>
      </c>
      <c r="AF20" s="1">
        <v>0</v>
      </c>
      <c r="AH20" s="11">
        <f t="shared" si="0"/>
        <v>0</v>
      </c>
    </row>
    <row r="21" spans="1:34" x14ac:dyDescent="0.25">
      <c r="A21" s="1">
        <v>70250</v>
      </c>
      <c r="B21" s="9" t="s">
        <v>36</v>
      </c>
      <c r="D21" s="1">
        <v>0</v>
      </c>
      <c r="F21" s="1">
        <v>0</v>
      </c>
      <c r="H21" s="1">
        <v>0</v>
      </c>
      <c r="J21" s="1">
        <v>0</v>
      </c>
      <c r="L21" s="1">
        <v>0</v>
      </c>
      <c r="N21" s="1">
        <v>0</v>
      </c>
      <c r="P21" s="1">
        <v>0</v>
      </c>
      <c r="R21" s="1">
        <v>0</v>
      </c>
      <c r="T21" s="1">
        <v>0</v>
      </c>
      <c r="V21" s="1">
        <v>0</v>
      </c>
      <c r="X21" s="1">
        <v>0</v>
      </c>
      <c r="Z21" s="1">
        <v>0</v>
      </c>
      <c r="AB21" s="1">
        <v>0</v>
      </c>
      <c r="AD21" s="1">
        <v>0</v>
      </c>
      <c r="AF21" s="1">
        <v>0</v>
      </c>
      <c r="AH21" s="11">
        <f t="shared" si="0"/>
        <v>0</v>
      </c>
    </row>
    <row r="22" spans="1:34" x14ac:dyDescent="0.25">
      <c r="A22" s="1">
        <v>140500</v>
      </c>
      <c r="B22" s="9" t="s">
        <v>37</v>
      </c>
      <c r="D22" s="1">
        <v>0</v>
      </c>
      <c r="F22" s="1">
        <v>0</v>
      </c>
      <c r="H22" s="1">
        <v>0</v>
      </c>
      <c r="J22" s="1">
        <v>0</v>
      </c>
      <c r="L22" s="1">
        <v>0</v>
      </c>
      <c r="N22" s="1">
        <v>0</v>
      </c>
      <c r="P22" s="1">
        <v>0</v>
      </c>
      <c r="R22" s="1">
        <v>0</v>
      </c>
      <c r="T22" s="1">
        <v>0</v>
      </c>
      <c r="V22" s="1">
        <v>0</v>
      </c>
      <c r="X22" s="1">
        <v>0</v>
      </c>
      <c r="Z22" s="1">
        <v>0</v>
      </c>
      <c r="AB22" s="1">
        <v>0</v>
      </c>
      <c r="AD22" s="1">
        <v>0</v>
      </c>
      <c r="AF22" s="1">
        <v>0</v>
      </c>
      <c r="AH22" s="11">
        <f t="shared" si="0"/>
        <v>0</v>
      </c>
    </row>
    <row r="23" spans="1:34" ht="6.75" customHeight="1" x14ac:dyDescent="0.25">
      <c r="B23" s="4"/>
      <c r="D23" s="6"/>
      <c r="E23" s="5"/>
      <c r="F23" s="6"/>
      <c r="G23" s="5"/>
      <c r="H23" s="6"/>
      <c r="I23" s="5"/>
      <c r="J23" s="6"/>
      <c r="K23" s="5"/>
      <c r="L23" s="6"/>
      <c r="M23" s="5"/>
      <c r="N23" s="6"/>
      <c r="O23" s="5"/>
      <c r="P23" s="6"/>
      <c r="Q23" s="5"/>
      <c r="R23" s="6"/>
      <c r="S23" s="5"/>
      <c r="T23" s="6"/>
      <c r="U23" s="5"/>
      <c r="V23" s="6"/>
      <c r="W23" s="5"/>
      <c r="X23" s="6"/>
      <c r="Y23" s="5"/>
      <c r="Z23" s="6"/>
      <c r="AA23" s="5"/>
      <c r="AB23" s="6"/>
      <c r="AC23" s="5"/>
      <c r="AD23" s="6"/>
      <c r="AE23" s="5"/>
      <c r="AF23" s="6"/>
      <c r="AH23" s="4"/>
    </row>
    <row r="24" spans="1:34" s="4" customFormat="1" x14ac:dyDescent="0.25">
      <c r="A24" s="7">
        <f>SUM(A11:A23)</f>
        <v>843000</v>
      </c>
      <c r="B24" s="3" t="s">
        <v>32</v>
      </c>
      <c r="D24" s="14">
        <f>SUM(D11:D22)</f>
        <v>0</v>
      </c>
      <c r="F24" s="14">
        <f>SUM(F11:F22)</f>
        <v>0</v>
      </c>
      <c r="H24" s="14">
        <f>SUM(H11:H22)</f>
        <v>0</v>
      </c>
      <c r="J24" s="14">
        <f>SUM(J11:J22)</f>
        <v>0</v>
      </c>
      <c r="L24" s="14">
        <f>SUM(L11:L22)</f>
        <v>0</v>
      </c>
      <c r="N24" s="14">
        <f>SUM(N11:N22)</f>
        <v>0</v>
      </c>
      <c r="P24" s="14">
        <f>SUM(P11:P22)</f>
        <v>0</v>
      </c>
      <c r="R24" s="14">
        <f>SUM(R11:R22)</f>
        <v>0</v>
      </c>
      <c r="T24" s="14">
        <f>SUM(T11:T22)</f>
        <v>0</v>
      </c>
      <c r="V24" s="14">
        <f>SUM(V11:V22)</f>
        <v>0</v>
      </c>
      <c r="X24" s="14">
        <f>SUM(X11:X22)</f>
        <v>0</v>
      </c>
      <c r="Z24" s="14">
        <f>SUM(Z11:Z22)</f>
        <v>0</v>
      </c>
      <c r="AB24" s="14">
        <f>SUM(AB11:AB22)</f>
        <v>0</v>
      </c>
      <c r="AD24" s="14">
        <f>SUM(AD11:AD22)</f>
        <v>0</v>
      </c>
      <c r="AF24" s="14">
        <f>SUM(AF11:AF22)</f>
        <v>0</v>
      </c>
      <c r="AH24" s="7">
        <f>SUM(AH11:AH23)</f>
        <v>0</v>
      </c>
    </row>
    <row r="27" spans="1:34" x14ac:dyDescent="0.25">
      <c r="A27" s="4"/>
      <c r="B27" s="4"/>
      <c r="C27" s="4"/>
      <c r="D27" s="4"/>
      <c r="E27" s="4"/>
      <c r="F27" s="4"/>
      <c r="G27" s="4"/>
      <c r="H27" s="3" t="s">
        <v>5</v>
      </c>
      <c r="I27" s="4"/>
      <c r="J27" s="3" t="s">
        <v>43</v>
      </c>
    </row>
    <row r="28" spans="1:34" x14ac:dyDescent="0.25">
      <c r="A28" s="3"/>
      <c r="B28" s="3"/>
      <c r="C28" s="3"/>
      <c r="D28" s="3" t="s">
        <v>41</v>
      </c>
      <c r="E28" s="3"/>
      <c r="F28" s="3" t="s">
        <v>42</v>
      </c>
      <c r="G28" s="3"/>
      <c r="H28" s="3" t="s">
        <v>6</v>
      </c>
      <c r="I28" s="3"/>
      <c r="J28" s="3" t="s">
        <v>8</v>
      </c>
    </row>
    <row r="29" spans="1:34" x14ac:dyDescent="0.25">
      <c r="A29" s="3"/>
      <c r="B29" s="3"/>
      <c r="C29" s="3"/>
      <c r="D29" s="3" t="s">
        <v>40</v>
      </c>
      <c r="E29" s="3"/>
      <c r="F29" s="3" t="s">
        <v>6</v>
      </c>
      <c r="G29" s="3"/>
      <c r="H29" s="3" t="s">
        <v>7</v>
      </c>
      <c r="I29" s="3"/>
      <c r="J29" s="3" t="s">
        <v>9</v>
      </c>
    </row>
    <row r="30" spans="1:34" x14ac:dyDescent="0.25">
      <c r="A30" s="2"/>
      <c r="B30" s="3" t="s">
        <v>38</v>
      </c>
      <c r="C30" s="2"/>
      <c r="D30" s="20">
        <v>201</v>
      </c>
      <c r="E30" s="1"/>
      <c r="F30" s="20">
        <v>80</v>
      </c>
      <c r="G30" s="1"/>
      <c r="H30" s="20">
        <v>0</v>
      </c>
      <c r="I30" s="1"/>
      <c r="J30" s="20">
        <v>334</v>
      </c>
    </row>
    <row r="31" spans="1:34" x14ac:dyDescent="0.25">
      <c r="B31" s="3" t="s">
        <v>39</v>
      </c>
      <c r="D31" s="20">
        <f>SUM(D49)</f>
        <v>89</v>
      </c>
      <c r="E31" s="1"/>
      <c r="F31" s="20">
        <f>SUM(F49)</f>
        <v>28</v>
      </c>
      <c r="G31" s="1"/>
      <c r="H31" s="20">
        <f>SUM(H49)</f>
        <v>0</v>
      </c>
      <c r="I31" s="1"/>
      <c r="J31" s="20">
        <f>SUM(J49)</f>
        <v>48</v>
      </c>
    </row>
    <row r="32" spans="1:34" x14ac:dyDescent="0.25">
      <c r="A32" s="8"/>
      <c r="B32" s="8"/>
      <c r="C32" s="8"/>
      <c r="D32" s="21">
        <f>SUM(D30-D31)</f>
        <v>112</v>
      </c>
      <c r="E32" s="22"/>
      <c r="F32" s="21">
        <f>SUM(F30-F31)</f>
        <v>52</v>
      </c>
      <c r="G32" s="22"/>
      <c r="H32" s="21">
        <f>SUM(H30-H31)</f>
        <v>0</v>
      </c>
      <c r="I32" s="22"/>
      <c r="J32" s="21">
        <f>SUM(J30-J31)</f>
        <v>286</v>
      </c>
    </row>
    <row r="33" spans="1:12" x14ac:dyDescent="0.25">
      <c r="A33" s="26" t="s">
        <v>44</v>
      </c>
      <c r="B33" s="23"/>
      <c r="D33" s="19">
        <f>8+10+11</f>
        <v>29</v>
      </c>
      <c r="F33" s="19">
        <f>5+2+7</f>
        <v>14</v>
      </c>
      <c r="H33" s="19">
        <v>0</v>
      </c>
      <c r="J33" s="19">
        <f>3+8</f>
        <v>11</v>
      </c>
      <c r="L33" s="14">
        <f>29452.5</f>
        <v>29452.5</v>
      </c>
    </row>
    <row r="34" spans="1:12" x14ac:dyDescent="0.25">
      <c r="A34" s="53" t="s">
        <v>121</v>
      </c>
      <c r="B34" s="23"/>
      <c r="D34" s="19"/>
      <c r="F34" s="19"/>
      <c r="H34" s="19"/>
      <c r="J34" s="19"/>
      <c r="L34" s="14">
        <f>472.5</f>
        <v>472.5</v>
      </c>
    </row>
    <row r="35" spans="1:12" x14ac:dyDescent="0.25">
      <c r="A35" s="53" t="s">
        <v>122</v>
      </c>
      <c r="B35" s="23"/>
      <c r="D35" s="19"/>
      <c r="F35" s="19"/>
      <c r="H35" s="19"/>
      <c r="J35" s="19"/>
      <c r="L35" s="14">
        <f>1575</f>
        <v>1575</v>
      </c>
    </row>
    <row r="36" spans="1:12" x14ac:dyDescent="0.25">
      <c r="A36" s="26"/>
      <c r="B36" s="23"/>
      <c r="D36" s="19"/>
      <c r="F36" s="19"/>
      <c r="H36" s="19"/>
      <c r="J36" s="19"/>
      <c r="L36" s="14"/>
    </row>
    <row r="37" spans="1:12" x14ac:dyDescent="0.25">
      <c r="A37" s="26" t="s">
        <v>45</v>
      </c>
      <c r="B37" s="23"/>
      <c r="D37" s="19">
        <f>4+11+12</f>
        <v>27</v>
      </c>
      <c r="F37" s="19">
        <f>3+4+4</f>
        <v>11</v>
      </c>
      <c r="H37" s="19">
        <v>0</v>
      </c>
      <c r="J37" s="19">
        <f>10+9</f>
        <v>19</v>
      </c>
      <c r="L37" s="14">
        <f>19391.13</f>
        <v>19391.13</v>
      </c>
    </row>
    <row r="38" spans="1:12" x14ac:dyDescent="0.25">
      <c r="A38" s="53" t="s">
        <v>121</v>
      </c>
      <c r="B38" s="23"/>
      <c r="D38" s="19"/>
      <c r="F38" s="19"/>
      <c r="H38" s="19"/>
      <c r="J38" s="19"/>
      <c r="L38" s="14">
        <f>6313.87</f>
        <v>6313.87</v>
      </c>
    </row>
    <row r="39" spans="1:12" x14ac:dyDescent="0.25">
      <c r="A39" s="53" t="s">
        <v>122</v>
      </c>
      <c r="B39" s="23"/>
      <c r="D39" s="19"/>
      <c r="F39" s="19"/>
      <c r="H39" s="19"/>
      <c r="J39" s="19"/>
      <c r="L39" s="14">
        <f>795</f>
        <v>795</v>
      </c>
    </row>
    <row r="40" spans="1:12" x14ac:dyDescent="0.25">
      <c r="A40" s="26"/>
      <c r="B40" s="23"/>
      <c r="D40" s="19"/>
      <c r="F40" s="19"/>
      <c r="H40" s="19"/>
      <c r="J40" s="19"/>
      <c r="L40" s="14"/>
    </row>
    <row r="41" spans="1:12" x14ac:dyDescent="0.25">
      <c r="A41" s="26" t="s">
        <v>46</v>
      </c>
      <c r="B41" s="23"/>
      <c r="D41" s="19">
        <v>0</v>
      </c>
      <c r="F41" s="19">
        <v>0</v>
      </c>
      <c r="H41" s="19">
        <v>0</v>
      </c>
      <c r="J41" s="19">
        <v>0</v>
      </c>
      <c r="L41" s="14"/>
    </row>
    <row r="42" spans="1:12" x14ac:dyDescent="0.25">
      <c r="A42" s="26" t="s">
        <v>47</v>
      </c>
      <c r="B42" s="23"/>
      <c r="D42" s="19">
        <f>8+12+13</f>
        <v>33</v>
      </c>
      <c r="F42" s="19">
        <f>3</f>
        <v>3</v>
      </c>
      <c r="H42" s="19">
        <v>0</v>
      </c>
      <c r="J42" s="19">
        <f>5+8</f>
        <v>13</v>
      </c>
      <c r="L42" s="14">
        <f>23281.5</f>
        <v>23281.5</v>
      </c>
    </row>
    <row r="43" spans="1:12" x14ac:dyDescent="0.25">
      <c r="A43" s="53" t="s">
        <v>121</v>
      </c>
      <c r="B43" s="23"/>
      <c r="D43" s="19"/>
      <c r="F43" s="19"/>
      <c r="H43" s="19"/>
      <c r="J43" s="19"/>
      <c r="L43" s="14">
        <f>373.5</f>
        <v>373.5</v>
      </c>
    </row>
    <row r="44" spans="1:12" x14ac:dyDescent="0.25">
      <c r="A44" s="53" t="s">
        <v>122</v>
      </c>
      <c r="B44" s="23"/>
      <c r="D44" s="19"/>
      <c r="F44" s="19"/>
      <c r="H44" s="19"/>
      <c r="J44" s="19"/>
      <c r="L44" s="14">
        <f>1245</f>
        <v>1245</v>
      </c>
    </row>
    <row r="45" spans="1:12" x14ac:dyDescent="0.25">
      <c r="A45" s="26"/>
      <c r="B45" s="23"/>
      <c r="D45" s="19"/>
      <c r="F45" s="19"/>
      <c r="H45" s="19"/>
      <c r="J45" s="19"/>
      <c r="L45" s="14"/>
    </row>
    <row r="46" spans="1:12" x14ac:dyDescent="0.25">
      <c r="A46" s="26" t="s">
        <v>48</v>
      </c>
      <c r="B46" s="23"/>
      <c r="D46" s="19">
        <v>0</v>
      </c>
      <c r="F46" s="19">
        <v>0</v>
      </c>
      <c r="H46" s="19">
        <v>0</v>
      </c>
      <c r="J46" s="19">
        <f>5</f>
        <v>5</v>
      </c>
      <c r="L46" s="14"/>
    </row>
    <row r="47" spans="1:12" x14ac:dyDescent="0.25">
      <c r="A47" s="26" t="s">
        <v>49</v>
      </c>
      <c r="B47" s="23"/>
      <c r="D47" s="19">
        <v>0</v>
      </c>
      <c r="F47" s="19">
        <v>0</v>
      </c>
      <c r="H47" s="19">
        <v>0</v>
      </c>
      <c r="J47" s="19">
        <v>0</v>
      </c>
      <c r="L47" s="14"/>
    </row>
    <row r="48" spans="1:12" x14ac:dyDescent="0.25">
      <c r="B48" s="4"/>
      <c r="D48" s="24"/>
      <c r="E48" s="25"/>
      <c r="F48" s="24"/>
      <c r="G48" s="25"/>
      <c r="H48" s="24"/>
      <c r="I48" s="25"/>
      <c r="J48" s="24"/>
    </row>
    <row r="49" spans="1:10" x14ac:dyDescent="0.25">
      <c r="A49" s="7"/>
      <c r="B49" s="3" t="s">
        <v>32</v>
      </c>
      <c r="C49" s="4"/>
      <c r="D49" s="27">
        <f>SUM(D33:D47)</f>
        <v>89</v>
      </c>
      <c r="E49" s="4"/>
      <c r="F49" s="27">
        <f>SUM(F33:F47)</f>
        <v>28</v>
      </c>
      <c r="G49" s="4"/>
      <c r="H49" s="27">
        <f>SUM(H33:H47)</f>
        <v>0</v>
      </c>
      <c r="I49" s="4"/>
      <c r="J49" s="27">
        <f>SUM(J33:J47)</f>
        <v>48</v>
      </c>
    </row>
  </sheetData>
  <mergeCells count="3">
    <mergeCell ref="F2:AD2"/>
    <mergeCell ref="L3:X3"/>
    <mergeCell ref="N4:V4"/>
  </mergeCells>
  <pageMargins left="0" right="0" top="0" bottom="0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topLeftCell="D1" zoomScale="81" zoomScaleNormal="81" workbookViewId="0">
      <selection activeCell="E19" sqref="E19"/>
    </sheetView>
  </sheetViews>
  <sheetFormatPr defaultRowHeight="15" x14ac:dyDescent="0.25"/>
  <cols>
    <col min="1" max="1" width="14.85546875" bestFit="1" customWidth="1"/>
    <col min="2" max="2" width="7.7109375" bestFit="1" customWidth="1"/>
    <col min="3" max="3" width="0.7109375" customWidth="1"/>
    <col min="4" max="4" width="14.85546875" bestFit="1" customWidth="1"/>
    <col min="5" max="5" width="0.7109375" customWidth="1"/>
    <col min="6" max="6" width="14.85546875" bestFit="1" customWidth="1"/>
    <col min="7" max="7" width="0.85546875" customWidth="1"/>
    <col min="8" max="8" width="15.5703125" bestFit="1" customWidth="1"/>
    <col min="9" max="9" width="0.85546875" customWidth="1"/>
    <col min="10" max="10" width="14.85546875" bestFit="1" customWidth="1"/>
    <col min="11" max="11" width="0.7109375" customWidth="1"/>
    <col min="12" max="12" width="15.140625" bestFit="1" customWidth="1"/>
    <col min="13" max="13" width="0.7109375" customWidth="1"/>
    <col min="14" max="14" width="13.7109375" bestFit="1" customWidth="1"/>
    <col min="15" max="15" width="0.7109375" customWidth="1"/>
    <col min="16" max="16" width="12.5703125" bestFit="1" customWidth="1"/>
    <col min="17" max="17" width="0.85546875" customWidth="1"/>
    <col min="18" max="18" width="13.7109375" bestFit="1" customWidth="1"/>
    <col min="19" max="19" width="0.85546875" customWidth="1"/>
    <col min="20" max="20" width="13.7109375" bestFit="1" customWidth="1"/>
    <col min="21" max="21" width="0.7109375" customWidth="1"/>
    <col min="22" max="22" width="17.5703125" bestFit="1" customWidth="1"/>
    <col min="23" max="23" width="0.5703125" customWidth="1"/>
    <col min="24" max="24" width="14.28515625" customWidth="1"/>
    <col min="25" max="25" width="0.5703125" customWidth="1"/>
    <col min="26" max="26" width="11.42578125" bestFit="1" customWidth="1"/>
    <col min="27" max="27" width="0.7109375" customWidth="1"/>
    <col min="28" max="28" width="14.85546875" bestFit="1" customWidth="1"/>
  </cols>
  <sheetData>
    <row r="1" spans="1:28" ht="31.5" x14ac:dyDescent="0.5">
      <c r="F1" s="305" t="s">
        <v>35</v>
      </c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</row>
    <row r="2" spans="1:28" ht="28.5" x14ac:dyDescent="0.45">
      <c r="L2" s="309" t="s">
        <v>33</v>
      </c>
      <c r="M2" s="309"/>
      <c r="N2" s="309"/>
      <c r="O2" s="309"/>
      <c r="P2" s="309"/>
      <c r="Q2" s="309"/>
      <c r="R2" s="309"/>
      <c r="S2" s="309"/>
      <c r="T2" s="309"/>
    </row>
    <row r="3" spans="1:28" ht="28.5" customHeight="1" x14ac:dyDescent="0.35">
      <c r="L3" s="310" t="s">
        <v>34</v>
      </c>
      <c r="M3" s="310"/>
      <c r="N3" s="310"/>
      <c r="O3" s="310"/>
      <c r="P3" s="310"/>
      <c r="Q3" s="310"/>
      <c r="R3" s="310"/>
      <c r="S3" s="310"/>
      <c r="T3" s="310"/>
    </row>
    <row r="4" spans="1:28" s="4" customFormat="1" ht="15.75" x14ac:dyDescent="0.25">
      <c r="H4" s="3"/>
      <c r="J4" s="3" t="s">
        <v>43</v>
      </c>
      <c r="L4" s="154">
        <v>12</v>
      </c>
      <c r="M4" s="154"/>
      <c r="N4" s="155">
        <v>6</v>
      </c>
      <c r="O4" s="156"/>
      <c r="P4" s="155">
        <v>5</v>
      </c>
      <c r="Q4" s="156"/>
      <c r="R4" s="156">
        <v>12</v>
      </c>
      <c r="S4" s="156"/>
      <c r="T4" s="154">
        <v>12</v>
      </c>
      <c r="U4" s="154"/>
      <c r="V4" s="155">
        <v>3</v>
      </c>
      <c r="X4" s="4" t="s">
        <v>18</v>
      </c>
    </row>
    <row r="5" spans="1:28" s="3" customFormat="1" x14ac:dyDescent="0.25">
      <c r="D5" s="3" t="s">
        <v>41</v>
      </c>
      <c r="F5" s="3" t="s">
        <v>42</v>
      </c>
      <c r="J5" s="3" t="s">
        <v>8</v>
      </c>
      <c r="L5" s="3" t="s">
        <v>244</v>
      </c>
      <c r="N5" s="3" t="s">
        <v>12</v>
      </c>
      <c r="P5" s="3" t="s">
        <v>0</v>
      </c>
      <c r="R5" s="3" t="s">
        <v>1</v>
      </c>
      <c r="T5" s="3" t="s">
        <v>245</v>
      </c>
      <c r="V5" s="3" t="s">
        <v>15</v>
      </c>
      <c r="X5" s="3" t="s">
        <v>19</v>
      </c>
      <c r="Z5" s="3" t="s">
        <v>21</v>
      </c>
    </row>
    <row r="6" spans="1:28" s="3" customFormat="1" x14ac:dyDescent="0.25">
      <c r="D6" s="3" t="s">
        <v>40</v>
      </c>
      <c r="F6" s="3" t="s">
        <v>6</v>
      </c>
      <c r="J6" s="3" t="s">
        <v>9</v>
      </c>
      <c r="L6" s="3" t="s">
        <v>243</v>
      </c>
      <c r="N6" s="3" t="s">
        <v>13</v>
      </c>
      <c r="T6" s="3" t="s">
        <v>246</v>
      </c>
      <c r="X6" s="3" t="s">
        <v>20</v>
      </c>
    </row>
    <row r="7" spans="1:28" s="151" customFormat="1" x14ac:dyDescent="0.25">
      <c r="D7" s="151">
        <v>1100</v>
      </c>
      <c r="F7" s="151">
        <v>2200</v>
      </c>
      <c r="J7" s="151">
        <v>500</v>
      </c>
      <c r="L7" s="151">
        <v>7500</v>
      </c>
      <c r="N7" s="151">
        <v>3000</v>
      </c>
      <c r="P7" s="151">
        <v>618</v>
      </c>
      <c r="R7" s="151">
        <v>4125</v>
      </c>
      <c r="T7" s="151">
        <v>4500</v>
      </c>
      <c r="V7" s="151">
        <v>21436</v>
      </c>
    </row>
    <row r="8" spans="1:28" s="2" customFormat="1" x14ac:dyDescent="0.25">
      <c r="B8" s="3" t="s">
        <v>38</v>
      </c>
      <c r="D8" s="1">
        <v>221100</v>
      </c>
      <c r="E8" s="1"/>
      <c r="F8" s="1">
        <v>176000</v>
      </c>
      <c r="G8" s="1"/>
      <c r="H8" s="1">
        <v>0</v>
      </c>
      <c r="I8" s="1"/>
      <c r="J8" s="1">
        <v>167000</v>
      </c>
      <c r="K8" s="1"/>
      <c r="L8" s="1">
        <v>90000</v>
      </c>
      <c r="M8" s="1"/>
      <c r="N8" s="1">
        <v>18000</v>
      </c>
      <c r="O8" s="1"/>
      <c r="P8" s="60">
        <v>3090</v>
      </c>
      <c r="Q8" s="60"/>
      <c r="R8" s="60">
        <v>49500</v>
      </c>
      <c r="S8" s="1"/>
      <c r="T8" s="1">
        <v>54000</v>
      </c>
      <c r="U8"/>
      <c r="V8" s="1">
        <v>64310</v>
      </c>
      <c r="W8"/>
      <c r="X8" s="1">
        <v>0</v>
      </c>
      <c r="Y8"/>
      <c r="Z8" s="1">
        <v>0</v>
      </c>
      <c r="AB8" s="10">
        <f>SUM(D8:Z8)</f>
        <v>843000</v>
      </c>
    </row>
    <row r="9" spans="1:28" x14ac:dyDescent="0.25">
      <c r="B9" s="3" t="s">
        <v>39</v>
      </c>
      <c r="D9" s="1">
        <f>SUM(D24)</f>
        <v>0</v>
      </c>
      <c r="E9" s="1"/>
      <c r="F9" s="1">
        <f>SUM(F24)</f>
        <v>0</v>
      </c>
      <c r="G9" s="1"/>
      <c r="H9" s="1">
        <f>SUM(H24)</f>
        <v>323863.85000000003</v>
      </c>
      <c r="I9" s="1"/>
      <c r="J9" s="1">
        <f>SUM(J24)</f>
        <v>0</v>
      </c>
      <c r="K9" s="1"/>
      <c r="L9" s="1">
        <f>SUM(L24)</f>
        <v>42954.82</v>
      </c>
      <c r="M9" s="1"/>
      <c r="N9" s="1">
        <f>SUM(N24)</f>
        <v>17948.740000000002</v>
      </c>
      <c r="O9" s="1"/>
      <c r="P9" s="1">
        <f>SUM(P24)</f>
        <v>2222.5699999999997</v>
      </c>
      <c r="Q9" s="1"/>
      <c r="R9" s="1">
        <f>SUM(R24)</f>
        <v>27922.140000000003</v>
      </c>
      <c r="S9" s="1"/>
      <c r="T9" s="1">
        <f>SUM(T24)</f>
        <v>28948.3</v>
      </c>
      <c r="V9" s="1">
        <f>SUM(V24)</f>
        <v>90240.549999999988</v>
      </c>
      <c r="X9" s="1">
        <f>SUM(X24)</f>
        <v>36376.99</v>
      </c>
      <c r="Z9" s="1">
        <f>SUM(Z24)</f>
        <v>0</v>
      </c>
      <c r="AB9" s="10">
        <f>SUM(D9:Z9)</f>
        <v>570477.96</v>
      </c>
    </row>
    <row r="10" spans="1:28" s="8" customFormat="1" ht="12.75" customHeight="1" x14ac:dyDescent="0.25">
      <c r="D10" s="12">
        <f>SUM(D8-D9)</f>
        <v>221100</v>
      </c>
      <c r="E10" s="13"/>
      <c r="F10" s="12">
        <f>SUM(F8-F9)</f>
        <v>176000</v>
      </c>
      <c r="G10" s="13"/>
      <c r="H10" s="12">
        <f>SUM(H8-H9)</f>
        <v>-323863.85000000003</v>
      </c>
      <c r="I10" s="13"/>
      <c r="J10" s="12">
        <f>SUM(J8-J9)</f>
        <v>167000</v>
      </c>
      <c r="K10" s="13"/>
      <c r="L10" s="12">
        <f>SUM(L8-L9)</f>
        <v>47045.18</v>
      </c>
      <c r="M10" s="13"/>
      <c r="N10" s="12">
        <f>SUM(N8-N9)</f>
        <v>51.259999999998399</v>
      </c>
      <c r="O10" s="13"/>
      <c r="P10" s="12">
        <f>SUM(P8-P9)</f>
        <v>867.43000000000029</v>
      </c>
      <c r="Q10" s="13"/>
      <c r="R10" s="12">
        <f>SUM(R8-R9)</f>
        <v>21577.859999999997</v>
      </c>
      <c r="S10" s="13"/>
      <c r="T10" s="12">
        <f>SUM(T8-T9)</f>
        <v>25051.7</v>
      </c>
      <c r="U10" s="13"/>
      <c r="V10" s="12">
        <f>SUM(V8-V9)</f>
        <v>-25930.549999999988</v>
      </c>
      <c r="W10" s="13"/>
      <c r="X10" s="12">
        <f>SUM(X8-X9)</f>
        <v>-36376.99</v>
      </c>
      <c r="Y10" s="13"/>
      <c r="Z10" s="12">
        <f>SUM(Z8-Z9)</f>
        <v>0</v>
      </c>
      <c r="AB10" s="10">
        <f>SUM(D10:Z10)</f>
        <v>272522.03999999998</v>
      </c>
    </row>
    <row r="11" spans="1:28" x14ac:dyDescent="0.25">
      <c r="A11" s="1"/>
      <c r="B11" s="9" t="s">
        <v>22</v>
      </c>
      <c r="D11" s="1">
        <v>0</v>
      </c>
      <c r="F11" s="1">
        <v>0</v>
      </c>
      <c r="H11" s="1">
        <f>18810+253.5+990+8569.99+2100.01+330+8228+132+440</f>
        <v>39853.5</v>
      </c>
      <c r="J11" s="1">
        <v>0</v>
      </c>
      <c r="L11" s="1">
        <v>0</v>
      </c>
      <c r="N11" s="1">
        <v>0</v>
      </c>
      <c r="P11" s="1">
        <v>729.74</v>
      </c>
      <c r="R11" s="1">
        <v>5471.93</v>
      </c>
      <c r="T11" s="1">
        <f>1413.35</f>
        <v>1413.35</v>
      </c>
      <c r="V11" s="1">
        <f>2684.96+1347+954+1237+915+935+1316+1134+859+2910+1478+924+1280+925+3058+1046+1805+2057</f>
        <v>26864.959999999999</v>
      </c>
      <c r="X11" s="1">
        <v>0</v>
      </c>
      <c r="Z11" s="1">
        <v>0</v>
      </c>
      <c r="AB11" s="11">
        <f>SUM(D11:Z11)</f>
        <v>74333.48</v>
      </c>
    </row>
    <row r="12" spans="1:28" x14ac:dyDescent="0.25">
      <c r="A12" s="1">
        <v>70250</v>
      </c>
      <c r="B12" s="9" t="s">
        <v>23</v>
      </c>
      <c r="D12" s="1">
        <v>0</v>
      </c>
      <c r="F12" s="1">
        <v>0</v>
      </c>
      <c r="H12" s="1">
        <f>15801.5+845+18925.49+6197.51+777+14679.5+235.5+785+2337.5+37.5+125+3038.75+48.75+162.5</f>
        <v>63996.500000000007</v>
      </c>
      <c r="J12" s="1">
        <v>0</v>
      </c>
      <c r="L12" s="1">
        <f>4012.93</f>
        <v>4012.93</v>
      </c>
      <c r="N12" s="1">
        <f>1701.17+1715</f>
        <v>3416.17</v>
      </c>
      <c r="P12" s="1">
        <v>869.81</v>
      </c>
      <c r="R12" s="1">
        <v>4857.83</v>
      </c>
      <c r="T12" s="1">
        <f>607.85+619.19+736.17</f>
        <v>1963.21</v>
      </c>
      <c r="V12" s="1">
        <v>0</v>
      </c>
      <c r="X12" s="1">
        <v>0</v>
      </c>
      <c r="Z12" s="1">
        <v>0</v>
      </c>
      <c r="AB12" s="11">
        <f t="shared" ref="AB12:AB22" si="0">SUM(D12:Z12)</f>
        <v>79116.450000000012</v>
      </c>
    </row>
    <row r="13" spans="1:28" x14ac:dyDescent="0.25">
      <c r="A13" s="1">
        <v>70250</v>
      </c>
      <c r="B13" s="9" t="s">
        <v>24</v>
      </c>
      <c r="D13" s="1">
        <v>0</v>
      </c>
      <c r="F13" s="1">
        <v>0</v>
      </c>
      <c r="H13" s="1"/>
      <c r="J13" s="1">
        <v>0</v>
      </c>
      <c r="L13" s="1">
        <f>2754.44+2025</f>
        <v>4779.4400000000005</v>
      </c>
      <c r="N13" s="1">
        <f>523.8+3402.34+3430</f>
        <v>7356.14</v>
      </c>
      <c r="P13" s="1">
        <v>623.02</v>
      </c>
      <c r="R13" s="1">
        <v>4675.84</v>
      </c>
      <c r="T13" s="1">
        <f>2043.11+293.43+608.83+1570.37</f>
        <v>4515.74</v>
      </c>
      <c r="V13" s="1">
        <f>2876.61+791+989+1007+1365+1422+1303+624+826+843+1748.71+1475+1361+1525+955+1319+2956+1552+1209+1435+898+1465+873+661+1686+2632+870+1864+1302+5721.27+2574+1236+1112</f>
        <v>50476.59</v>
      </c>
      <c r="X13" s="1">
        <f>8932.03</f>
        <v>8932.0300000000007</v>
      </c>
      <c r="Z13" s="1">
        <v>0</v>
      </c>
      <c r="AB13" s="11">
        <f t="shared" si="0"/>
        <v>81358.799999999988</v>
      </c>
    </row>
    <row r="14" spans="1:28" x14ac:dyDescent="0.25">
      <c r="A14" s="1">
        <v>70250</v>
      </c>
      <c r="B14" s="9" t="s">
        <v>25</v>
      </c>
      <c r="D14" s="1">
        <v>0</v>
      </c>
      <c r="F14" s="1">
        <v>0</v>
      </c>
      <c r="H14" s="1">
        <f>29452.5+472.5+1575+19391.13+6319.87+795+23281.5+373.5+1245</f>
        <v>82906</v>
      </c>
      <c r="J14" s="1">
        <v>0</v>
      </c>
      <c r="L14" s="1">
        <v>0</v>
      </c>
      <c r="N14" s="1">
        <v>0</v>
      </c>
      <c r="P14" s="1">
        <v>0</v>
      </c>
      <c r="R14" s="1">
        <v>0</v>
      </c>
      <c r="T14" s="1">
        <v>0</v>
      </c>
      <c r="V14" s="1">
        <v>0</v>
      </c>
      <c r="X14" s="1">
        <v>0</v>
      </c>
      <c r="Z14" s="1">
        <v>0</v>
      </c>
      <c r="AB14" s="11">
        <f t="shared" si="0"/>
        <v>82906</v>
      </c>
    </row>
    <row r="15" spans="1:28" s="163" customFormat="1" x14ac:dyDescent="0.25">
      <c r="A15" s="161">
        <v>70250</v>
      </c>
      <c r="B15" s="162" t="s">
        <v>26</v>
      </c>
      <c r="D15" s="161">
        <v>0</v>
      </c>
      <c r="F15" s="161">
        <v>0</v>
      </c>
      <c r="H15" s="161">
        <f>1402.5+21224.5+2337.5+14734.63+14305.5</f>
        <v>54004.63</v>
      </c>
      <c r="J15" s="161">
        <v>0</v>
      </c>
      <c r="L15" s="161">
        <f>1350</f>
        <v>1350</v>
      </c>
      <c r="N15" s="161">
        <v>0</v>
      </c>
      <c r="P15" s="161">
        <v>0</v>
      </c>
      <c r="R15" s="161">
        <v>0</v>
      </c>
      <c r="T15" s="161">
        <f>123.87+9.9+164.47+212.05+27.99+4.95+152.81+4.98+11.2+76.88+47.41+75.85+796.57+322.74+134.66+413.15+904.76+690.44+341.8+436.78</f>
        <v>4953.26</v>
      </c>
      <c r="V15" s="161">
        <f>1339+3150+1649+801+3079+2881</f>
        <v>12899</v>
      </c>
      <c r="X15" s="161">
        <v>8932.0300000000007</v>
      </c>
      <c r="Z15" s="161">
        <v>0</v>
      </c>
      <c r="AB15" s="164">
        <f t="shared" si="0"/>
        <v>82138.92</v>
      </c>
    </row>
    <row r="16" spans="1:28" s="163" customFormat="1" x14ac:dyDescent="0.25">
      <c r="A16" s="161">
        <v>70250</v>
      </c>
      <c r="B16" s="162" t="s">
        <v>27</v>
      </c>
      <c r="D16" s="161">
        <v>0</v>
      </c>
      <c r="F16" s="161">
        <v>0</v>
      </c>
      <c r="H16" s="161">
        <f>6930+2978.8+10356.13+11461.65+1954.7+1000+6460</f>
        <v>41141.279999999999</v>
      </c>
      <c r="J16" s="161">
        <v>0</v>
      </c>
      <c r="L16" s="161">
        <f>2475+3385.99+2825.38+4297.91</f>
        <v>12984.279999999999</v>
      </c>
      <c r="N16" s="161">
        <f>1701.17+1701.17</f>
        <v>3402.34</v>
      </c>
      <c r="P16" s="161">
        <v>0</v>
      </c>
      <c r="R16" s="161">
        <f>3690.55</f>
        <v>3690.55</v>
      </c>
      <c r="T16" s="161">
        <f>1288.23+695.59+2157.9+268.71</f>
        <v>4410.43</v>
      </c>
      <c r="V16" s="161">
        <v>0</v>
      </c>
      <c r="X16" s="161">
        <v>0</v>
      </c>
      <c r="Z16" s="161">
        <v>0</v>
      </c>
      <c r="AB16" s="164">
        <f t="shared" si="0"/>
        <v>65628.88</v>
      </c>
    </row>
    <row r="17" spans="1:28" s="167" customFormat="1" x14ac:dyDescent="0.25">
      <c r="A17" s="165">
        <v>70250</v>
      </c>
      <c r="B17" s="166" t="s">
        <v>28</v>
      </c>
      <c r="D17" s="165">
        <v>0</v>
      </c>
      <c r="F17" s="165">
        <v>0</v>
      </c>
      <c r="H17" s="165">
        <f>11968+15104.5+1777+3820.55+9291.89</f>
        <v>41961.94</v>
      </c>
      <c r="J17" s="165">
        <v>0</v>
      </c>
      <c r="L17" s="165">
        <f>4469.88+2350</f>
        <v>6819.88</v>
      </c>
      <c r="N17" s="1">
        <f>1701.17+371.75</f>
        <v>2072.92</v>
      </c>
      <c r="P17" s="165">
        <v>0</v>
      </c>
      <c r="R17" s="165">
        <v>3200.29</v>
      </c>
      <c r="T17" s="1">
        <f>2015.55+825.13+79.97+80.8+143.12+30.77+28.1+605.45+310.18</f>
        <v>4119.07</v>
      </c>
      <c r="V17" s="165">
        <v>0</v>
      </c>
      <c r="X17" s="1">
        <f>5033.12+5241.41+1483.2+2286.56</f>
        <v>14044.289999999999</v>
      </c>
      <c r="Z17" s="165">
        <v>0</v>
      </c>
      <c r="AB17" s="168">
        <f t="shared" si="0"/>
        <v>72218.39</v>
      </c>
    </row>
    <row r="18" spans="1:28" x14ac:dyDescent="0.25">
      <c r="A18" s="1">
        <v>70250</v>
      </c>
      <c r="B18" s="9" t="s">
        <v>29</v>
      </c>
      <c r="D18" s="1">
        <v>0</v>
      </c>
      <c r="F18" s="1">
        <v>0</v>
      </c>
      <c r="H18" s="1">
        <v>0</v>
      </c>
      <c r="J18" s="1">
        <v>0</v>
      </c>
      <c r="L18" s="169">
        <f>450+450+675+3649.01+2082.35</f>
        <v>7306.3600000000006</v>
      </c>
      <c r="N18" s="169">
        <v>1701.17</v>
      </c>
      <c r="P18" s="1">
        <v>0</v>
      </c>
      <c r="R18" s="169">
        <v>3000.45</v>
      </c>
      <c r="T18" s="169">
        <f>1459.24+758.85+302.9+183.91+60.6+32.77+41.02+44.54+53.74+68.07+49.97</f>
        <v>3055.6099999999997</v>
      </c>
      <c r="V18" s="1">
        <v>0</v>
      </c>
      <c r="X18" s="1">
        <v>0</v>
      </c>
      <c r="Z18" s="1">
        <v>0</v>
      </c>
      <c r="AB18" s="11">
        <f t="shared" si="0"/>
        <v>15063.59</v>
      </c>
    </row>
    <row r="19" spans="1:28" s="160" customFormat="1" x14ac:dyDescent="0.25">
      <c r="A19" s="170">
        <v>70250</v>
      </c>
      <c r="B19" s="171" t="s">
        <v>30</v>
      </c>
      <c r="D19" s="170">
        <v>0</v>
      </c>
      <c r="F19" s="170">
        <v>0</v>
      </c>
      <c r="H19" s="170">
        <v>0</v>
      </c>
      <c r="J19" s="170">
        <v>0</v>
      </c>
      <c r="L19" s="170">
        <f>875+450+702.1+379.2+3295.63</f>
        <v>5701.93</v>
      </c>
      <c r="N19" s="170" t="s">
        <v>251</v>
      </c>
      <c r="P19" s="170">
        <v>0</v>
      </c>
      <c r="R19" s="170">
        <v>3025.25</v>
      </c>
      <c r="T19" s="170">
        <f>613.84+2968.09+935.7</f>
        <v>4517.63</v>
      </c>
      <c r="V19" s="170">
        <v>0</v>
      </c>
      <c r="X19" s="170">
        <f>4468.64</f>
        <v>4468.6400000000003</v>
      </c>
      <c r="Z19" s="170">
        <v>0</v>
      </c>
      <c r="AB19" s="172">
        <f t="shared" si="0"/>
        <v>17713.45</v>
      </c>
    </row>
    <row r="20" spans="1:28" x14ac:dyDescent="0.25">
      <c r="A20" s="1">
        <v>70250</v>
      </c>
      <c r="B20" s="9" t="s">
        <v>31</v>
      </c>
      <c r="D20" s="1">
        <v>0</v>
      </c>
      <c r="F20" s="1">
        <v>0</v>
      </c>
      <c r="H20" s="1">
        <v>0</v>
      </c>
      <c r="J20" s="1">
        <v>0</v>
      </c>
      <c r="L20" s="1">
        <v>0</v>
      </c>
      <c r="N20" s="1">
        <v>0</v>
      </c>
      <c r="P20" s="1">
        <v>0</v>
      </c>
      <c r="R20" s="1">
        <v>0</v>
      </c>
      <c r="T20" s="1">
        <v>0</v>
      </c>
      <c r="V20" s="1">
        <v>0</v>
      </c>
      <c r="X20" s="1">
        <v>0</v>
      </c>
      <c r="Z20" s="1">
        <v>0</v>
      </c>
      <c r="AB20" s="11">
        <f t="shared" si="0"/>
        <v>0</v>
      </c>
    </row>
    <row r="21" spans="1:28" x14ac:dyDescent="0.25">
      <c r="A21" s="1">
        <v>70250</v>
      </c>
      <c r="B21" s="9" t="s">
        <v>36</v>
      </c>
      <c r="D21" s="1">
        <v>0</v>
      </c>
      <c r="F21" s="1">
        <v>0</v>
      </c>
      <c r="H21" s="1">
        <v>0</v>
      </c>
      <c r="J21" s="1">
        <v>0</v>
      </c>
      <c r="L21" s="1">
        <v>0</v>
      </c>
      <c r="N21" s="1">
        <v>0</v>
      </c>
      <c r="P21" s="1">
        <v>0</v>
      </c>
      <c r="R21" s="1">
        <v>0</v>
      </c>
      <c r="T21" s="1">
        <v>0</v>
      </c>
      <c r="V21" s="1">
        <v>0</v>
      </c>
      <c r="X21" s="1">
        <v>0</v>
      </c>
      <c r="Z21" s="1">
        <v>0</v>
      </c>
      <c r="AB21" s="11">
        <f t="shared" si="0"/>
        <v>0</v>
      </c>
    </row>
    <row r="22" spans="1:28" x14ac:dyDescent="0.25">
      <c r="A22" s="1">
        <v>140500</v>
      </c>
      <c r="B22" s="9" t="s">
        <v>37</v>
      </c>
      <c r="D22" s="1">
        <v>0</v>
      </c>
      <c r="F22" s="1">
        <v>0</v>
      </c>
      <c r="H22" s="1">
        <v>0</v>
      </c>
      <c r="J22" s="1">
        <v>0</v>
      </c>
      <c r="L22" s="1">
        <v>0</v>
      </c>
      <c r="N22" s="1">
        <v>0</v>
      </c>
      <c r="P22" s="1">
        <v>0</v>
      </c>
      <c r="R22" s="1">
        <v>0</v>
      </c>
      <c r="T22" s="1">
        <v>0</v>
      </c>
      <c r="V22" s="1">
        <v>0</v>
      </c>
      <c r="X22" s="1">
        <v>0</v>
      </c>
      <c r="Z22" s="1">
        <v>0</v>
      </c>
      <c r="AB22" s="11">
        <f t="shared" si="0"/>
        <v>0</v>
      </c>
    </row>
    <row r="23" spans="1:28" ht="6.75" customHeight="1" x14ac:dyDescent="0.25">
      <c r="B23" s="4"/>
      <c r="D23" s="6"/>
      <c r="E23" s="5"/>
      <c r="F23" s="6"/>
      <c r="G23" s="5"/>
      <c r="H23" s="6"/>
      <c r="I23" s="5"/>
      <c r="J23" s="6"/>
      <c r="K23" s="5"/>
      <c r="L23" s="6"/>
      <c r="M23" s="5"/>
      <c r="N23" s="6"/>
      <c r="O23" s="5"/>
      <c r="P23" s="6"/>
      <c r="Q23" s="5"/>
      <c r="R23" s="6"/>
      <c r="S23" s="5"/>
      <c r="T23" s="6"/>
      <c r="U23" s="5"/>
      <c r="V23" s="6"/>
      <c r="W23" s="5"/>
      <c r="X23" s="6"/>
      <c r="Y23" s="5"/>
      <c r="Z23" s="6"/>
      <c r="AB23" s="4"/>
    </row>
    <row r="24" spans="1:28" s="4" customFormat="1" x14ac:dyDescent="0.25">
      <c r="A24" s="7">
        <f>SUM(A11:A23)</f>
        <v>843000</v>
      </c>
      <c r="B24" s="3" t="s">
        <v>32</v>
      </c>
      <c r="D24" s="14">
        <f>SUM(D11:D22)</f>
        <v>0</v>
      </c>
      <c r="F24" s="14">
        <f>SUM(F11:F22)</f>
        <v>0</v>
      </c>
      <c r="H24" s="14">
        <f>SUM(H11:H22)</f>
        <v>323863.85000000003</v>
      </c>
      <c r="J24" s="14">
        <f>SUM(J11:J22)</f>
        <v>0</v>
      </c>
      <c r="L24" s="14">
        <f>SUM(L11:L22)</f>
        <v>42954.82</v>
      </c>
      <c r="N24" s="14">
        <f>SUM(N11:N22)</f>
        <v>17948.740000000002</v>
      </c>
      <c r="P24" s="14">
        <f>SUM(P11:P22)</f>
        <v>2222.5699999999997</v>
      </c>
      <c r="R24" s="14">
        <f>SUM(R11:R22)</f>
        <v>27922.140000000003</v>
      </c>
      <c r="T24" s="14">
        <f>SUM(T11:T22)</f>
        <v>28948.3</v>
      </c>
      <c r="V24" s="14">
        <f>SUM(V11:V22)</f>
        <v>90240.549999999988</v>
      </c>
      <c r="X24" s="14">
        <f>SUM(X11:X22)</f>
        <v>36376.99</v>
      </c>
      <c r="Z24" s="14">
        <f>SUM(Z11:Z22)</f>
        <v>0</v>
      </c>
      <c r="AB24" s="7">
        <f>SUM(AB11:AB23)</f>
        <v>570477.95999999985</v>
      </c>
    </row>
    <row r="26" spans="1:28" x14ac:dyDescent="0.25">
      <c r="A26" s="4"/>
      <c r="B26" s="4"/>
      <c r="C26" s="4"/>
      <c r="D26" s="4"/>
      <c r="E26" s="4"/>
      <c r="F26" s="4"/>
      <c r="G26" s="4"/>
      <c r="H26" s="3" t="s">
        <v>5</v>
      </c>
      <c r="I26" s="4"/>
      <c r="J26" s="3" t="s">
        <v>43</v>
      </c>
    </row>
    <row r="27" spans="1:28" x14ac:dyDescent="0.25">
      <c r="A27" s="3"/>
      <c r="B27" s="3"/>
      <c r="C27" s="3"/>
      <c r="D27" s="3" t="s">
        <v>41</v>
      </c>
      <c r="E27" s="3"/>
      <c r="F27" s="3" t="s">
        <v>42</v>
      </c>
      <c r="G27" s="3"/>
      <c r="H27" s="3" t="s">
        <v>6</v>
      </c>
      <c r="I27" s="3"/>
      <c r="J27" s="3" t="s">
        <v>8</v>
      </c>
    </row>
    <row r="28" spans="1:28" x14ac:dyDescent="0.25">
      <c r="A28" s="3"/>
      <c r="B28" s="3"/>
      <c r="C28" s="3"/>
      <c r="D28" s="3" t="s">
        <v>40</v>
      </c>
      <c r="E28" s="3"/>
      <c r="F28" s="3" t="s">
        <v>6</v>
      </c>
      <c r="G28" s="3"/>
      <c r="H28" s="3" t="s">
        <v>7</v>
      </c>
      <c r="I28" s="3"/>
      <c r="J28" s="3" t="s">
        <v>9</v>
      </c>
    </row>
    <row r="29" spans="1:28" x14ac:dyDescent="0.25">
      <c r="A29" s="2"/>
      <c r="B29" s="3" t="s">
        <v>38</v>
      </c>
      <c r="C29" s="2"/>
      <c r="D29" s="20">
        <v>201</v>
      </c>
      <c r="E29" s="1"/>
      <c r="F29" s="20">
        <v>80</v>
      </c>
      <c r="G29" s="1"/>
      <c r="H29" s="20">
        <v>0</v>
      </c>
      <c r="I29" s="1"/>
      <c r="J29" s="20">
        <v>334</v>
      </c>
    </row>
    <row r="30" spans="1:28" x14ac:dyDescent="0.25">
      <c r="B30" s="3" t="s">
        <v>39</v>
      </c>
      <c r="D30" s="20">
        <f>SUM(D52)</f>
        <v>106</v>
      </c>
      <c r="E30" s="1"/>
      <c r="F30" s="20">
        <f>SUM(F52)</f>
        <v>36</v>
      </c>
      <c r="G30" s="1"/>
      <c r="H30" s="20">
        <f>SUM(H52)</f>
        <v>0</v>
      </c>
      <c r="I30" s="1"/>
      <c r="J30" s="20">
        <f>SUM(J52)</f>
        <v>105</v>
      </c>
    </row>
    <row r="31" spans="1:28" x14ac:dyDescent="0.25">
      <c r="A31" s="8"/>
      <c r="B31" s="8"/>
      <c r="C31" s="8"/>
      <c r="D31" s="21">
        <f>SUM(D29-D30)</f>
        <v>95</v>
      </c>
      <c r="E31" s="22"/>
      <c r="F31" s="21">
        <f>SUM(F29-F30)</f>
        <v>44</v>
      </c>
      <c r="G31" s="22"/>
      <c r="H31" s="21">
        <f>SUM(H29-H30)</f>
        <v>0</v>
      </c>
      <c r="I31" s="22"/>
      <c r="J31" s="21">
        <f>SUM(J29-J30)</f>
        <v>229</v>
      </c>
    </row>
    <row r="32" spans="1:28" x14ac:dyDescent="0.25">
      <c r="A32" s="26" t="s">
        <v>44</v>
      </c>
      <c r="B32" s="23"/>
      <c r="D32" s="19">
        <f>8+10+11+4</f>
        <v>33</v>
      </c>
      <c r="F32" s="19">
        <f>5+2+7+4</f>
        <v>18</v>
      </c>
      <c r="H32" s="19">
        <v>0</v>
      </c>
      <c r="J32" s="19">
        <f>3+8+19</f>
        <v>30</v>
      </c>
      <c r="L32" s="14">
        <f>18810+15801.5+29452.5+21224.5</f>
        <v>85288.5</v>
      </c>
    </row>
    <row r="33" spans="1:16" x14ac:dyDescent="0.25">
      <c r="A33" s="53" t="s">
        <v>121</v>
      </c>
      <c r="B33" s="23"/>
      <c r="D33" s="19"/>
      <c r="F33" s="19"/>
      <c r="H33" s="19"/>
      <c r="J33" s="19"/>
      <c r="L33" s="14">
        <f>253.5+472.5+340.5</f>
        <v>1066.5</v>
      </c>
    </row>
    <row r="34" spans="1:16" x14ac:dyDescent="0.25">
      <c r="A34" s="53" t="s">
        <v>122</v>
      </c>
      <c r="B34" s="23"/>
      <c r="D34" s="19"/>
      <c r="F34" s="19"/>
      <c r="H34" s="19"/>
      <c r="J34" s="19"/>
      <c r="L34" s="14">
        <f>990+845+1575+1135</f>
        <v>4545</v>
      </c>
    </row>
    <row r="35" spans="1:16" x14ac:dyDescent="0.25">
      <c r="A35" s="26"/>
      <c r="B35" s="23"/>
      <c r="D35" s="19"/>
      <c r="F35" s="19"/>
      <c r="H35" s="19"/>
      <c r="J35" s="19"/>
      <c r="L35" s="14"/>
    </row>
    <row r="36" spans="1:16" x14ac:dyDescent="0.25">
      <c r="A36" s="26" t="s">
        <v>45</v>
      </c>
      <c r="B36" s="23"/>
      <c r="D36" s="19">
        <f>4+11+12+5</f>
        <v>32</v>
      </c>
      <c r="F36" s="19">
        <f>3+4+4+4</f>
        <v>15</v>
      </c>
      <c r="H36" s="19">
        <v>0</v>
      </c>
      <c r="J36" s="19">
        <f>10+9+11</f>
        <v>30</v>
      </c>
      <c r="L36" s="14">
        <f>8569.99+18925.49+19391.13+14734.63</f>
        <v>61621.24</v>
      </c>
    </row>
    <row r="37" spans="1:16" x14ac:dyDescent="0.25">
      <c r="A37" s="53" t="s">
        <v>121</v>
      </c>
      <c r="B37" s="23"/>
      <c r="D37" s="19"/>
      <c r="F37" s="19"/>
      <c r="H37" s="19"/>
      <c r="J37" s="19"/>
      <c r="L37" s="14">
        <f>2100.01+6197.51+6319.87+4471.37</f>
        <v>19088.759999999998</v>
      </c>
    </row>
    <row r="38" spans="1:16" x14ac:dyDescent="0.25">
      <c r="A38" s="53" t="s">
        <v>122</v>
      </c>
      <c r="B38" s="23"/>
      <c r="D38" s="19"/>
      <c r="F38" s="19"/>
      <c r="H38" s="19"/>
      <c r="J38" s="19"/>
      <c r="L38" s="14">
        <f>330+777+795+594</f>
        <v>2496</v>
      </c>
    </row>
    <row r="39" spans="1:16" x14ac:dyDescent="0.25">
      <c r="A39" s="26"/>
      <c r="B39" s="23"/>
      <c r="D39" s="19"/>
      <c r="F39" s="19"/>
      <c r="H39" s="19"/>
      <c r="J39" s="19"/>
      <c r="L39" s="14"/>
    </row>
    <row r="40" spans="1:16" x14ac:dyDescent="0.25">
      <c r="A40" s="26" t="s">
        <v>47</v>
      </c>
      <c r="B40" s="23"/>
      <c r="D40" s="19">
        <f>8+12+13+8</f>
        <v>41</v>
      </c>
      <c r="F40" s="19">
        <f>3</f>
        <v>3</v>
      </c>
      <c r="H40" s="19">
        <v>0</v>
      </c>
      <c r="J40" s="19">
        <f>5+8+13</f>
        <v>26</v>
      </c>
      <c r="L40" s="14">
        <f>8228+14679.5+23281.5+14305.5</f>
        <v>60494.5</v>
      </c>
    </row>
    <row r="41" spans="1:16" x14ac:dyDescent="0.25">
      <c r="A41" s="53" t="s">
        <v>121</v>
      </c>
      <c r="B41" s="23"/>
      <c r="D41" s="19"/>
      <c r="F41" s="19"/>
      <c r="H41" s="19"/>
      <c r="J41" s="19"/>
      <c r="L41" s="14">
        <f>132+235.5+373.5+229.5</f>
        <v>970.5</v>
      </c>
    </row>
    <row r="42" spans="1:16" x14ac:dyDescent="0.25">
      <c r="A42" s="53" t="s">
        <v>122</v>
      </c>
      <c r="B42" s="23"/>
      <c r="D42" s="19"/>
      <c r="F42" s="19"/>
      <c r="H42" s="19"/>
      <c r="J42" s="19"/>
      <c r="L42" s="14">
        <f>440+785+1245+765</f>
        <v>3235</v>
      </c>
      <c r="P42" s="152"/>
    </row>
    <row r="43" spans="1:16" x14ac:dyDescent="0.25">
      <c r="A43" s="26"/>
      <c r="B43" s="23"/>
      <c r="D43" s="19"/>
      <c r="F43" s="19"/>
      <c r="H43" s="19"/>
      <c r="J43" s="19"/>
      <c r="L43" s="14"/>
    </row>
    <row r="44" spans="1:16" x14ac:dyDescent="0.25">
      <c r="A44" s="26" t="s">
        <v>48</v>
      </c>
      <c r="B44" s="23"/>
      <c r="D44" s="19">
        <v>0</v>
      </c>
      <c r="F44" s="19">
        <v>0</v>
      </c>
      <c r="H44" s="19">
        <v>0</v>
      </c>
      <c r="J44" s="19">
        <f>5+5</f>
        <v>10</v>
      </c>
      <c r="L44" s="14">
        <f>2337.5+2337.5</f>
        <v>4675</v>
      </c>
      <c r="P44" s="19"/>
    </row>
    <row r="45" spans="1:16" x14ac:dyDescent="0.25">
      <c r="A45" s="53" t="s">
        <v>121</v>
      </c>
      <c r="B45" s="23"/>
      <c r="D45" s="19"/>
      <c r="F45" s="19"/>
      <c r="H45" s="19"/>
      <c r="J45" s="19"/>
      <c r="L45" s="14">
        <f>37.5+37.5</f>
        <v>75</v>
      </c>
      <c r="P45" s="19"/>
    </row>
    <row r="46" spans="1:16" x14ac:dyDescent="0.25">
      <c r="A46" s="53" t="s">
        <v>122</v>
      </c>
      <c r="B46" s="23"/>
      <c r="D46" s="19"/>
      <c r="F46" s="19"/>
      <c r="H46" s="19"/>
      <c r="J46" s="19"/>
      <c r="L46" s="14">
        <f>125+125</f>
        <v>250</v>
      </c>
      <c r="P46" s="19"/>
    </row>
    <row r="47" spans="1:16" x14ac:dyDescent="0.25">
      <c r="A47" s="53"/>
      <c r="B47" s="23"/>
      <c r="D47" s="19"/>
      <c r="F47" s="19"/>
      <c r="H47" s="19"/>
      <c r="J47" s="19"/>
      <c r="L47" s="14"/>
      <c r="P47" s="19"/>
    </row>
    <row r="48" spans="1:16" x14ac:dyDescent="0.25">
      <c r="A48" s="26" t="s">
        <v>49</v>
      </c>
      <c r="B48" s="23"/>
      <c r="D48" s="19">
        <v>0</v>
      </c>
      <c r="F48" s="19">
        <v>0</v>
      </c>
      <c r="H48" s="19">
        <v>0</v>
      </c>
      <c r="J48" s="19">
        <f>6+3</f>
        <v>9</v>
      </c>
      <c r="L48" s="14">
        <f>3038.75+1402.5</f>
        <v>4441.25</v>
      </c>
      <c r="P48" s="19"/>
    </row>
    <row r="49" spans="1:16" x14ac:dyDescent="0.25">
      <c r="A49" s="53" t="s">
        <v>121</v>
      </c>
      <c r="B49" s="23"/>
      <c r="D49" s="19"/>
      <c r="F49" s="19"/>
      <c r="H49" s="19"/>
      <c r="J49" s="19"/>
      <c r="L49" s="14">
        <f>48.75+22.5</f>
        <v>71.25</v>
      </c>
      <c r="P49" s="19"/>
    </row>
    <row r="50" spans="1:16" x14ac:dyDescent="0.25">
      <c r="A50" s="53" t="s">
        <v>122</v>
      </c>
      <c r="B50" s="23"/>
      <c r="D50" s="19"/>
      <c r="F50" s="19"/>
      <c r="H50" s="19"/>
      <c r="J50" s="19"/>
      <c r="L50" s="14">
        <f>162.5+75</f>
        <v>237.5</v>
      </c>
    </row>
    <row r="51" spans="1:16" x14ac:dyDescent="0.25">
      <c r="B51" s="4"/>
      <c r="D51" s="24"/>
      <c r="E51" s="25"/>
      <c r="F51" s="24"/>
      <c r="G51" s="25"/>
      <c r="H51" s="24"/>
      <c r="I51" s="25"/>
      <c r="J51" s="24"/>
    </row>
    <row r="52" spans="1:16" x14ac:dyDescent="0.25">
      <c r="A52" s="7"/>
      <c r="B52" s="3" t="s">
        <v>32</v>
      </c>
      <c r="C52" s="4"/>
      <c r="D52" s="27">
        <f>SUM(D32:D48)</f>
        <v>106</v>
      </c>
      <c r="E52" s="4"/>
      <c r="F52" s="27">
        <f>SUM(F32:F48)</f>
        <v>36</v>
      </c>
      <c r="G52" s="4"/>
      <c r="H52" s="27">
        <f>SUM(H32:H48)</f>
        <v>0</v>
      </c>
      <c r="I52" s="4"/>
      <c r="J52" s="27">
        <f>SUM(J32:J48)</f>
        <v>105</v>
      </c>
      <c r="L52" s="7">
        <f>SUM(L32:L50)</f>
        <v>248556</v>
      </c>
      <c r="P52" s="153"/>
    </row>
    <row r="53" spans="1:16" x14ac:dyDescent="0.25">
      <c r="J53">
        <v>0.5</v>
      </c>
      <c r="L53" t="s">
        <v>49</v>
      </c>
    </row>
  </sheetData>
  <mergeCells count="3">
    <mergeCell ref="F1:X1"/>
    <mergeCell ref="L2:T2"/>
    <mergeCell ref="L3:T3"/>
  </mergeCells>
  <pageMargins left="0" right="0" top="0" bottom="0" header="0.31496062992125984" footer="0.31496062992125984"/>
  <pageSetup paperSize="9" scale="6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zoomScale="81" zoomScaleNormal="81" workbookViewId="0">
      <selection activeCell="E19" sqref="E19"/>
    </sheetView>
  </sheetViews>
  <sheetFormatPr defaultRowHeight="15" x14ac:dyDescent="0.25"/>
  <cols>
    <col min="1" max="1" width="14.85546875" bestFit="1" customWidth="1"/>
    <col min="2" max="2" width="7.7109375" bestFit="1" customWidth="1"/>
    <col min="3" max="3" width="0.7109375" customWidth="1"/>
    <col min="4" max="4" width="14.85546875" bestFit="1" customWidth="1"/>
    <col min="5" max="5" width="0.7109375" customWidth="1"/>
    <col min="6" max="6" width="14.85546875" bestFit="1" customWidth="1"/>
    <col min="7" max="7" width="0.85546875" customWidth="1"/>
    <col min="8" max="8" width="15.5703125" bestFit="1" customWidth="1"/>
    <col min="9" max="9" width="0.85546875" customWidth="1"/>
    <col min="10" max="10" width="14.85546875" bestFit="1" customWidth="1"/>
    <col min="11" max="11" width="0.7109375" customWidth="1"/>
    <col min="12" max="12" width="15.140625" bestFit="1" customWidth="1"/>
    <col min="13" max="13" width="0.7109375" customWidth="1"/>
    <col min="14" max="14" width="13.7109375" bestFit="1" customWidth="1"/>
    <col min="15" max="15" width="0.7109375" customWidth="1"/>
    <col min="16" max="16" width="12.5703125" bestFit="1" customWidth="1"/>
    <col min="17" max="17" width="0.85546875" customWidth="1"/>
    <col min="18" max="18" width="13.7109375" bestFit="1" customWidth="1"/>
    <col min="19" max="19" width="0.85546875" customWidth="1"/>
    <col min="20" max="20" width="13.7109375" bestFit="1" customWidth="1"/>
    <col min="21" max="21" width="0.7109375" customWidth="1"/>
    <col min="22" max="22" width="17.5703125" bestFit="1" customWidth="1"/>
    <col min="23" max="23" width="0.5703125" customWidth="1"/>
    <col min="24" max="24" width="14.28515625" customWidth="1"/>
    <col min="25" max="25" width="0.5703125" customWidth="1"/>
    <col min="26" max="26" width="11.42578125" bestFit="1" customWidth="1"/>
    <col min="27" max="27" width="0.7109375" customWidth="1"/>
    <col min="28" max="28" width="14.85546875" bestFit="1" customWidth="1"/>
  </cols>
  <sheetData>
    <row r="1" spans="1:28" ht="31.5" x14ac:dyDescent="0.5">
      <c r="F1" s="305" t="s">
        <v>35</v>
      </c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</row>
    <row r="2" spans="1:28" ht="28.5" x14ac:dyDescent="0.45">
      <c r="L2" s="309" t="s">
        <v>33</v>
      </c>
      <c r="M2" s="309"/>
      <c r="N2" s="309"/>
      <c r="O2" s="309"/>
      <c r="P2" s="309"/>
      <c r="Q2" s="309"/>
      <c r="R2" s="309"/>
      <c r="S2" s="309"/>
      <c r="T2" s="309"/>
    </row>
    <row r="3" spans="1:28" ht="28.5" customHeight="1" x14ac:dyDescent="0.35">
      <c r="L3" s="310" t="s">
        <v>34</v>
      </c>
      <c r="M3" s="310"/>
      <c r="N3" s="310"/>
      <c r="O3" s="310"/>
      <c r="P3" s="310"/>
      <c r="Q3" s="310"/>
      <c r="R3" s="310"/>
      <c r="S3" s="310"/>
      <c r="T3" s="310"/>
    </row>
    <row r="4" spans="1:28" s="4" customFormat="1" ht="15.75" x14ac:dyDescent="0.25">
      <c r="H4" s="3"/>
      <c r="J4" s="3" t="s">
        <v>43</v>
      </c>
      <c r="L4" s="154">
        <v>12</v>
      </c>
      <c r="M4" s="154"/>
      <c r="N4" s="155">
        <v>6</v>
      </c>
      <c r="O4" s="156"/>
      <c r="P4" s="155">
        <v>5</v>
      </c>
      <c r="Q4" s="156"/>
      <c r="R4" s="156">
        <v>12</v>
      </c>
      <c r="S4" s="156"/>
      <c r="T4" s="154">
        <v>12</v>
      </c>
      <c r="U4" s="154"/>
      <c r="V4" s="155">
        <v>3</v>
      </c>
      <c r="X4" s="4" t="s">
        <v>18</v>
      </c>
    </row>
    <row r="5" spans="1:28" s="3" customFormat="1" x14ac:dyDescent="0.25">
      <c r="D5" s="3" t="s">
        <v>41</v>
      </c>
      <c r="F5" s="3" t="s">
        <v>42</v>
      </c>
      <c r="J5" s="3" t="s">
        <v>8</v>
      </c>
      <c r="L5" s="3" t="s">
        <v>244</v>
      </c>
      <c r="N5" s="3" t="s">
        <v>12</v>
      </c>
      <c r="P5" s="3" t="s">
        <v>0</v>
      </c>
      <c r="R5" s="3" t="s">
        <v>1</v>
      </c>
      <c r="T5" s="3" t="s">
        <v>245</v>
      </c>
      <c r="V5" s="3" t="s">
        <v>15</v>
      </c>
      <c r="X5" s="3" t="s">
        <v>19</v>
      </c>
      <c r="Z5" s="3" t="s">
        <v>21</v>
      </c>
    </row>
    <row r="6" spans="1:28" s="3" customFormat="1" x14ac:dyDescent="0.25">
      <c r="D6" s="3" t="s">
        <v>40</v>
      </c>
      <c r="F6" s="3" t="s">
        <v>6</v>
      </c>
      <c r="J6" s="3" t="s">
        <v>9</v>
      </c>
      <c r="L6" s="3" t="s">
        <v>243</v>
      </c>
      <c r="N6" s="3" t="s">
        <v>13</v>
      </c>
      <c r="T6" s="3" t="s">
        <v>246</v>
      </c>
      <c r="X6" s="3" t="s">
        <v>20</v>
      </c>
    </row>
    <row r="7" spans="1:28" s="151" customFormat="1" x14ac:dyDescent="0.25">
      <c r="D7" s="151">
        <v>1100</v>
      </c>
      <c r="F7" s="151">
        <v>2200</v>
      </c>
      <c r="J7" s="151">
        <v>500</v>
      </c>
      <c r="L7" s="151">
        <v>7500</v>
      </c>
      <c r="N7" s="151">
        <v>3000</v>
      </c>
      <c r="P7" s="151">
        <v>618</v>
      </c>
      <c r="R7" s="151">
        <v>4125</v>
      </c>
      <c r="T7" s="151">
        <v>4500</v>
      </c>
      <c r="V7" s="151">
        <v>21436</v>
      </c>
    </row>
    <row r="8" spans="1:28" s="2" customFormat="1" x14ac:dyDescent="0.25">
      <c r="B8" s="3" t="s">
        <v>38</v>
      </c>
      <c r="D8" s="1">
        <v>221100</v>
      </c>
      <c r="E8" s="1"/>
      <c r="F8" s="1">
        <v>176000</v>
      </c>
      <c r="G8" s="1"/>
      <c r="H8" s="1">
        <v>0</v>
      </c>
      <c r="I8" s="1"/>
      <c r="J8" s="1">
        <v>167000</v>
      </c>
      <c r="K8" s="1"/>
      <c r="L8" s="1">
        <v>90000</v>
      </c>
      <c r="M8" s="1"/>
      <c r="N8" s="1">
        <v>18000</v>
      </c>
      <c r="O8" s="1"/>
      <c r="P8" s="60">
        <v>3090</v>
      </c>
      <c r="Q8" s="60"/>
      <c r="R8" s="60">
        <v>49500</v>
      </c>
      <c r="S8" s="1"/>
      <c r="T8" s="1">
        <v>54000</v>
      </c>
      <c r="U8"/>
      <c r="V8" s="1">
        <v>64310</v>
      </c>
      <c r="W8"/>
      <c r="X8" s="1">
        <v>0</v>
      </c>
      <c r="Y8"/>
      <c r="Z8" s="1">
        <v>0</v>
      </c>
      <c r="AB8" s="10">
        <f>SUM(D8:Z8)</f>
        <v>843000</v>
      </c>
    </row>
    <row r="9" spans="1:28" x14ac:dyDescent="0.25">
      <c r="B9" s="3" t="s">
        <v>39</v>
      </c>
      <c r="D9" s="1">
        <f>SUM(D24)</f>
        <v>0</v>
      </c>
      <c r="E9" s="1"/>
      <c r="F9" s="1">
        <f>SUM(F24)</f>
        <v>0</v>
      </c>
      <c r="G9" s="1"/>
      <c r="H9" s="1">
        <f>SUM(H24)</f>
        <v>367263.48000000004</v>
      </c>
      <c r="I9" s="1"/>
      <c r="J9" s="1">
        <f>SUM(J24)</f>
        <v>0</v>
      </c>
      <c r="K9" s="1"/>
      <c r="L9" s="1">
        <f>SUM(L24)</f>
        <v>48110.6</v>
      </c>
      <c r="M9" s="1"/>
      <c r="N9" s="1">
        <f>SUM(N24)</f>
        <v>19663.740000000002</v>
      </c>
      <c r="O9" s="1"/>
      <c r="P9" s="1">
        <f>SUM(P24)</f>
        <v>2222.5699999999997</v>
      </c>
      <c r="Q9" s="1"/>
      <c r="R9" s="1">
        <f>SUM(R24)</f>
        <v>29226.020000000004</v>
      </c>
      <c r="S9" s="1"/>
      <c r="T9" s="1">
        <f>SUM(T24)</f>
        <v>35007.050000000003</v>
      </c>
      <c r="V9" s="1">
        <f>SUM(V24)</f>
        <v>90240.549999999988</v>
      </c>
      <c r="X9" s="1">
        <f>SUM(X24)</f>
        <v>40709.14</v>
      </c>
      <c r="Z9" s="1">
        <f>SUM(Z24)</f>
        <v>0</v>
      </c>
      <c r="AB9" s="10">
        <f>SUM(D9:Z9)</f>
        <v>632443.15</v>
      </c>
    </row>
    <row r="10" spans="1:28" s="8" customFormat="1" ht="12.75" customHeight="1" x14ac:dyDescent="0.25">
      <c r="D10" s="12">
        <f>SUM(D8-D9)</f>
        <v>221100</v>
      </c>
      <c r="E10" s="13"/>
      <c r="F10" s="12">
        <f>SUM(F8-F9)</f>
        <v>176000</v>
      </c>
      <c r="G10" s="13"/>
      <c r="H10" s="12">
        <f>SUM(H8-H9)</f>
        <v>-367263.48000000004</v>
      </c>
      <c r="I10" s="13"/>
      <c r="J10" s="12">
        <f>SUM(J8-J9)</f>
        <v>167000</v>
      </c>
      <c r="K10" s="13"/>
      <c r="L10" s="12">
        <f>SUM(L8-L9)</f>
        <v>41889.4</v>
      </c>
      <c r="M10" s="13"/>
      <c r="N10" s="12">
        <f>SUM(N8-N9)</f>
        <v>-1663.7400000000016</v>
      </c>
      <c r="O10" s="13"/>
      <c r="P10" s="12">
        <f>SUM(P8-P9)</f>
        <v>867.43000000000029</v>
      </c>
      <c r="Q10" s="13"/>
      <c r="R10" s="12">
        <f>SUM(R8-R9)</f>
        <v>20273.979999999996</v>
      </c>
      <c r="S10" s="13"/>
      <c r="T10" s="12">
        <f>SUM(T8-T9)</f>
        <v>18992.949999999997</v>
      </c>
      <c r="U10" s="13"/>
      <c r="V10" s="12">
        <f>SUM(V8-V9)</f>
        <v>-25930.549999999988</v>
      </c>
      <c r="W10" s="13"/>
      <c r="X10" s="12">
        <f>SUM(X8-X9)</f>
        <v>-40709.14</v>
      </c>
      <c r="Y10" s="13"/>
      <c r="Z10" s="12">
        <f>SUM(Z8-Z9)</f>
        <v>0</v>
      </c>
      <c r="AB10" s="10">
        <f>SUM(D10:Z10)</f>
        <v>210556.84999999998</v>
      </c>
    </row>
    <row r="11" spans="1:28" x14ac:dyDescent="0.25">
      <c r="A11" s="1"/>
      <c r="B11" s="9" t="s">
        <v>22</v>
      </c>
      <c r="D11" s="1">
        <v>0</v>
      </c>
      <c r="F11" s="1">
        <v>0</v>
      </c>
      <c r="H11" s="1">
        <f>18810+253.5+990+8569.99+2100.01+330+8228+132+440</f>
        <v>39853.5</v>
      </c>
      <c r="J11" s="1">
        <v>0</v>
      </c>
      <c r="L11" s="1">
        <v>0</v>
      </c>
      <c r="N11" s="1">
        <v>0</v>
      </c>
      <c r="P11" s="1">
        <v>729.74</v>
      </c>
      <c r="R11" s="1">
        <v>5471.93</v>
      </c>
      <c r="T11" s="1">
        <f>1413.35</f>
        <v>1413.35</v>
      </c>
      <c r="V11" s="1">
        <f>2684.96+1347+954+1237+915+935+1316+1134+859+2910+1478+924+1280+925+3058+1046+1805+2057</f>
        <v>26864.959999999999</v>
      </c>
      <c r="X11" s="1">
        <v>0</v>
      </c>
      <c r="Z11" s="1">
        <v>0</v>
      </c>
      <c r="AB11" s="11">
        <f>SUM(D11:Z11)</f>
        <v>74333.48</v>
      </c>
    </row>
    <row r="12" spans="1:28" x14ac:dyDescent="0.25">
      <c r="A12" s="1">
        <v>70250</v>
      </c>
      <c r="B12" s="9" t="s">
        <v>23</v>
      </c>
      <c r="D12" s="1">
        <v>0</v>
      </c>
      <c r="F12" s="1">
        <v>0</v>
      </c>
      <c r="H12" s="1">
        <f>15801.5+845+18925.49+6197.51+777+14679.5+235.5+785+2337.5+37.5+125+3038.75+48.75+162.5</f>
        <v>63996.500000000007</v>
      </c>
      <c r="J12" s="1">
        <v>0</v>
      </c>
      <c r="L12" s="1">
        <f>4012.93</f>
        <v>4012.93</v>
      </c>
      <c r="N12" s="1">
        <f>1701.17+1715</f>
        <v>3416.17</v>
      </c>
      <c r="P12" s="1">
        <v>869.81</v>
      </c>
      <c r="R12" s="1">
        <v>4857.83</v>
      </c>
      <c r="T12" s="1">
        <f>607.85+619.19+736.17</f>
        <v>1963.21</v>
      </c>
      <c r="V12" s="1">
        <v>0</v>
      </c>
      <c r="X12" s="1">
        <v>0</v>
      </c>
      <c r="Z12" s="1">
        <v>0</v>
      </c>
      <c r="AB12" s="11">
        <f t="shared" ref="AB12:AB22" si="0">SUM(D12:Z12)</f>
        <v>79116.450000000012</v>
      </c>
    </row>
    <row r="13" spans="1:28" x14ac:dyDescent="0.25">
      <c r="A13" s="1">
        <v>70250</v>
      </c>
      <c r="B13" s="9" t="s">
        <v>24</v>
      </c>
      <c r="D13" s="1">
        <v>0</v>
      </c>
      <c r="F13" s="1">
        <v>0</v>
      </c>
      <c r="H13" s="1"/>
      <c r="J13" s="1">
        <v>0</v>
      </c>
      <c r="L13" s="1">
        <f>2754.44+2025</f>
        <v>4779.4400000000005</v>
      </c>
      <c r="N13" s="1">
        <f>523.8+3402.34+3430</f>
        <v>7356.14</v>
      </c>
      <c r="P13" s="1">
        <v>623.02</v>
      </c>
      <c r="R13" s="1">
        <v>4675.84</v>
      </c>
      <c r="T13" s="1">
        <f>2043.11+293.43+608.83+1570.37</f>
        <v>4515.74</v>
      </c>
      <c r="V13" s="1">
        <f>2876.61+791+989+1007+1365+1422+1303+624+826+843+1748.71+1475+1361+1525+955+1319+2956+1552+1209+1435+898+1465+873+661+1686+2632+870+1864+1302+5721.27+2574+1236+1112</f>
        <v>50476.59</v>
      </c>
      <c r="X13" s="1">
        <f>8932.03</f>
        <v>8932.0300000000007</v>
      </c>
      <c r="Z13" s="1">
        <v>0</v>
      </c>
      <c r="AB13" s="11">
        <f t="shared" si="0"/>
        <v>81358.799999999988</v>
      </c>
    </row>
    <row r="14" spans="1:28" x14ac:dyDescent="0.25">
      <c r="A14" s="1">
        <v>70250</v>
      </c>
      <c r="B14" s="9" t="s">
        <v>25</v>
      </c>
      <c r="D14" s="1">
        <v>0</v>
      </c>
      <c r="F14" s="1">
        <v>0</v>
      </c>
      <c r="H14" s="1">
        <f>29452.5+472.5+1575+19391.13+6319.87+795+23281.5+373.5+1245</f>
        <v>82906</v>
      </c>
      <c r="J14" s="1">
        <v>0</v>
      </c>
      <c r="L14" s="1">
        <v>0</v>
      </c>
      <c r="N14" s="1">
        <v>0</v>
      </c>
      <c r="P14" s="1">
        <v>0</v>
      </c>
      <c r="R14" s="1">
        <v>0</v>
      </c>
      <c r="T14" s="1">
        <v>0</v>
      </c>
      <c r="V14" s="1">
        <v>0</v>
      </c>
      <c r="X14" s="1">
        <v>0</v>
      </c>
      <c r="Z14" s="1">
        <v>0</v>
      </c>
      <c r="AB14" s="11">
        <f t="shared" si="0"/>
        <v>82906</v>
      </c>
    </row>
    <row r="15" spans="1:28" s="163" customFormat="1" x14ac:dyDescent="0.25">
      <c r="A15" s="161">
        <v>70250</v>
      </c>
      <c r="B15" s="162" t="s">
        <v>26</v>
      </c>
      <c r="D15" s="161">
        <v>0</v>
      </c>
      <c r="F15" s="161">
        <v>0</v>
      </c>
      <c r="H15" s="161">
        <f>1402.5+21224.5+2337.5+14734.63+14305.5</f>
        <v>54004.63</v>
      </c>
      <c r="J15" s="161">
        <v>0</v>
      </c>
      <c r="L15" s="161">
        <f>1350</f>
        <v>1350</v>
      </c>
      <c r="N15" s="161">
        <v>0</v>
      </c>
      <c r="P15" s="161">
        <v>0</v>
      </c>
      <c r="R15" s="161">
        <v>0</v>
      </c>
      <c r="T15" s="161">
        <f>123.87+9.9+164.47+212.05+27.99+4.95+152.81+4.98+11.2+76.88+47.41+75.85+796.57+322.74+134.66+413.15+904.76+690.44+341.8+436.78</f>
        <v>4953.26</v>
      </c>
      <c r="V15" s="161">
        <f>1339+3150+1649+801+3079+2881</f>
        <v>12899</v>
      </c>
      <c r="X15" s="161">
        <v>8932.0300000000007</v>
      </c>
      <c r="Z15" s="161">
        <v>0</v>
      </c>
      <c r="AB15" s="164">
        <f t="shared" si="0"/>
        <v>82138.92</v>
      </c>
    </row>
    <row r="16" spans="1:28" s="163" customFormat="1" x14ac:dyDescent="0.25">
      <c r="A16" s="161">
        <v>70250</v>
      </c>
      <c r="B16" s="162" t="s">
        <v>27</v>
      </c>
      <c r="D16" s="161">
        <v>0</v>
      </c>
      <c r="F16" s="161">
        <v>0</v>
      </c>
      <c r="H16" s="161">
        <f>6930+2978.8+10356.13+11461.65+1954.7+1000+6460</f>
        <v>41141.279999999999</v>
      </c>
      <c r="J16" s="161">
        <v>0</v>
      </c>
      <c r="L16" s="161">
        <f>2475+3385.99+2825.38+4297.91</f>
        <v>12984.279999999999</v>
      </c>
      <c r="N16" s="161">
        <f>1701.17+1701.17</f>
        <v>3402.34</v>
      </c>
      <c r="P16" s="161">
        <v>0</v>
      </c>
      <c r="R16" s="161">
        <f>3690.55</f>
        <v>3690.55</v>
      </c>
      <c r="T16" s="161">
        <f>1288.23+695.59+2157.9+268.71</f>
        <v>4410.43</v>
      </c>
      <c r="V16" s="161">
        <v>0</v>
      </c>
      <c r="X16" s="161">
        <v>0</v>
      </c>
      <c r="Z16" s="161">
        <v>0</v>
      </c>
      <c r="AB16" s="164">
        <f t="shared" si="0"/>
        <v>65628.88</v>
      </c>
    </row>
    <row r="17" spans="1:28" s="179" customFormat="1" x14ac:dyDescent="0.25">
      <c r="A17" s="177">
        <v>70250</v>
      </c>
      <c r="B17" s="178" t="s">
        <v>28</v>
      </c>
      <c r="D17" s="177">
        <v>0</v>
      </c>
      <c r="F17" s="177">
        <v>0</v>
      </c>
      <c r="H17" s="177">
        <f>11968+15104.5+1777+3820.55+9291.89</f>
        <v>41961.94</v>
      </c>
      <c r="J17" s="177">
        <v>0</v>
      </c>
      <c r="L17" s="177">
        <f>4469.88+2350</f>
        <v>6819.88</v>
      </c>
      <c r="N17" s="177">
        <f>1701.17+371.75</f>
        <v>2072.92</v>
      </c>
      <c r="P17" s="177">
        <v>0</v>
      </c>
      <c r="R17" s="177">
        <v>3200.29</v>
      </c>
      <c r="T17" s="177">
        <f>2015.55+825.13+79.97+80.8+143.12+30.77+28.1+605.45+310.18</f>
        <v>4119.07</v>
      </c>
      <c r="V17" s="177">
        <v>0</v>
      </c>
      <c r="X17" s="177">
        <f>5033.12+5241.41+1483.2+2286.56</f>
        <v>14044.289999999999</v>
      </c>
      <c r="Z17" s="177">
        <v>0</v>
      </c>
      <c r="AB17" s="180">
        <f t="shared" si="0"/>
        <v>72218.39</v>
      </c>
    </row>
    <row r="18" spans="1:28" x14ac:dyDescent="0.25">
      <c r="A18" s="1">
        <v>70250</v>
      </c>
      <c r="B18" s="9" t="s">
        <v>29</v>
      </c>
      <c r="D18" s="1">
        <v>0</v>
      </c>
      <c r="F18" s="1">
        <v>0</v>
      </c>
      <c r="H18" s="1">
        <v>0</v>
      </c>
      <c r="J18" s="1">
        <v>0</v>
      </c>
      <c r="L18" s="169">
        <f>450+450+675+3649.01+2082.35</f>
        <v>7306.3600000000006</v>
      </c>
      <c r="N18" s="169">
        <v>0</v>
      </c>
      <c r="P18" s="1">
        <v>0</v>
      </c>
      <c r="R18" s="169">
        <v>0</v>
      </c>
      <c r="T18" s="169">
        <f>1459.24+758.85+302.9+183.91+60.6+32.77+41.02+44.54+53.74+68.07+49.97</f>
        <v>3055.6099999999997</v>
      </c>
      <c r="V18" s="1">
        <v>0</v>
      </c>
      <c r="X18" s="1">
        <v>0</v>
      </c>
      <c r="Z18" s="1">
        <v>0</v>
      </c>
      <c r="AB18" s="11">
        <f t="shared" si="0"/>
        <v>10361.970000000001</v>
      </c>
    </row>
    <row r="19" spans="1:28" s="160" customFormat="1" x14ac:dyDescent="0.25">
      <c r="A19" s="170">
        <v>70250</v>
      </c>
      <c r="B19" s="171" t="s">
        <v>30</v>
      </c>
      <c r="D19" s="170">
        <v>0</v>
      </c>
      <c r="F19" s="170">
        <v>0</v>
      </c>
      <c r="H19" s="170">
        <v>0</v>
      </c>
      <c r="J19" s="170">
        <v>0</v>
      </c>
      <c r="L19" s="170">
        <f>875+450+702.1+379.2+3295.63</f>
        <v>5701.93</v>
      </c>
      <c r="N19" s="170" t="s">
        <v>251</v>
      </c>
      <c r="P19" s="170">
        <v>0</v>
      </c>
      <c r="R19" s="170">
        <v>3025.25</v>
      </c>
      <c r="T19" s="170">
        <f>613.84+2968.09+935.7</f>
        <v>4517.63</v>
      </c>
      <c r="V19" s="170">
        <v>0</v>
      </c>
      <c r="X19" s="170">
        <f>4468.64</f>
        <v>4468.6400000000003</v>
      </c>
      <c r="Z19" s="170">
        <v>0</v>
      </c>
      <c r="AB19" s="172">
        <f t="shared" si="0"/>
        <v>17713.45</v>
      </c>
    </row>
    <row r="20" spans="1:28" s="175" customFormat="1" x14ac:dyDescent="0.25">
      <c r="A20" s="173">
        <v>70250</v>
      </c>
      <c r="B20" s="174" t="s">
        <v>31</v>
      </c>
      <c r="D20" s="173">
        <v>0</v>
      </c>
      <c r="F20" s="173">
        <v>0</v>
      </c>
      <c r="H20" s="173">
        <f>2221.25+12302.13+12794.4+10839.7+5242.15</f>
        <v>43399.63</v>
      </c>
      <c r="J20" s="173">
        <v>0</v>
      </c>
      <c r="L20" s="173">
        <f>1879.16+2051.62+675+550</f>
        <v>5155.78</v>
      </c>
      <c r="N20" s="173">
        <f>1701.17+1715</f>
        <v>3416.17</v>
      </c>
      <c r="P20" s="173">
        <v>0</v>
      </c>
      <c r="R20" s="173">
        <v>4304.33</v>
      </c>
      <c r="T20" s="173">
        <f>693.28+296.99+1211.32+327.24+737.37+2792.55</f>
        <v>6058.75</v>
      </c>
      <c r="V20" s="173">
        <v>0</v>
      </c>
      <c r="X20" s="173">
        <v>4332.1499999999996</v>
      </c>
      <c r="Z20" s="173"/>
      <c r="AB20" s="176">
        <f t="shared" si="0"/>
        <v>66666.81</v>
      </c>
    </row>
    <row r="21" spans="1:28" x14ac:dyDescent="0.25">
      <c r="A21" s="1">
        <v>70250</v>
      </c>
      <c r="B21" s="9" t="s">
        <v>36</v>
      </c>
      <c r="D21" s="1">
        <v>0</v>
      </c>
      <c r="F21" s="1">
        <v>0</v>
      </c>
      <c r="H21" s="1">
        <v>0</v>
      </c>
      <c r="J21" s="1">
        <v>0</v>
      </c>
      <c r="L21" s="1">
        <v>0</v>
      </c>
      <c r="N21" s="1">
        <v>0</v>
      </c>
      <c r="P21" s="1">
        <v>0</v>
      </c>
      <c r="R21" s="1">
        <v>0</v>
      </c>
      <c r="T21" s="1">
        <v>0</v>
      </c>
      <c r="V21" s="1">
        <v>0</v>
      </c>
      <c r="X21" s="1">
        <v>0</v>
      </c>
      <c r="Z21" s="1">
        <v>0</v>
      </c>
      <c r="AB21" s="11">
        <f t="shared" si="0"/>
        <v>0</v>
      </c>
    </row>
    <row r="22" spans="1:28" x14ac:dyDescent="0.25">
      <c r="A22" s="1">
        <v>140500</v>
      </c>
      <c r="B22" s="9" t="s">
        <v>37</v>
      </c>
      <c r="D22" s="1">
        <v>0</v>
      </c>
      <c r="F22" s="1">
        <v>0</v>
      </c>
      <c r="H22" s="1">
        <v>0</v>
      </c>
      <c r="J22" s="1">
        <v>0</v>
      </c>
      <c r="L22" s="1">
        <v>0</v>
      </c>
      <c r="N22" s="1">
        <v>0</v>
      </c>
      <c r="P22" s="1">
        <v>0</v>
      </c>
      <c r="R22" s="1">
        <v>0</v>
      </c>
      <c r="T22" s="1">
        <v>0</v>
      </c>
      <c r="V22" s="1">
        <v>0</v>
      </c>
      <c r="X22" s="1">
        <v>0</v>
      </c>
      <c r="Z22" s="1">
        <v>0</v>
      </c>
      <c r="AB22" s="11">
        <f t="shared" si="0"/>
        <v>0</v>
      </c>
    </row>
    <row r="23" spans="1:28" ht="6.75" customHeight="1" x14ac:dyDescent="0.25">
      <c r="B23" s="4"/>
      <c r="D23" s="6"/>
      <c r="E23" s="5"/>
      <c r="F23" s="6"/>
      <c r="G23" s="5"/>
      <c r="H23" s="6"/>
      <c r="I23" s="5"/>
      <c r="J23" s="6"/>
      <c r="K23" s="5"/>
      <c r="L23" s="6"/>
      <c r="M23" s="5"/>
      <c r="N23" s="6"/>
      <c r="O23" s="5"/>
      <c r="P23" s="6"/>
      <c r="Q23" s="5"/>
      <c r="R23" s="6"/>
      <c r="S23" s="5"/>
      <c r="T23" s="6"/>
      <c r="U23" s="5"/>
      <c r="V23" s="6"/>
      <c r="W23" s="5"/>
      <c r="X23" s="6"/>
      <c r="Y23" s="5"/>
      <c r="Z23" s="6"/>
      <c r="AB23" s="4"/>
    </row>
    <row r="24" spans="1:28" s="4" customFormat="1" x14ac:dyDescent="0.25">
      <c r="A24" s="7">
        <f>SUM(A11:A23)</f>
        <v>843000</v>
      </c>
      <c r="B24" s="3" t="s">
        <v>32</v>
      </c>
      <c r="D24" s="14">
        <f>SUM(D11:D22)</f>
        <v>0</v>
      </c>
      <c r="F24" s="14">
        <f>SUM(F11:F22)</f>
        <v>0</v>
      </c>
      <c r="H24" s="14">
        <f>SUM(H11:H22)</f>
        <v>367263.48000000004</v>
      </c>
      <c r="J24" s="14">
        <f>SUM(J11:J22)</f>
        <v>0</v>
      </c>
      <c r="L24" s="14">
        <f>SUM(L11:L22)</f>
        <v>48110.6</v>
      </c>
      <c r="N24" s="14">
        <f>SUM(N11:N22)</f>
        <v>19663.740000000002</v>
      </c>
      <c r="P24" s="14">
        <f>SUM(P11:P22)</f>
        <v>2222.5699999999997</v>
      </c>
      <c r="R24" s="14">
        <f>SUM(R11:R22)</f>
        <v>29226.020000000004</v>
      </c>
      <c r="T24" s="14">
        <f>SUM(T11:T22)</f>
        <v>35007.050000000003</v>
      </c>
      <c r="V24" s="14">
        <f>SUM(V11:V22)</f>
        <v>90240.549999999988</v>
      </c>
      <c r="X24" s="14">
        <f>SUM(X11:X22)</f>
        <v>40709.14</v>
      </c>
      <c r="Z24" s="14">
        <f>SUM(Z11:Z22)</f>
        <v>0</v>
      </c>
      <c r="AB24" s="7">
        <f>SUM(AB11:AB23)</f>
        <v>632443.14999999991</v>
      </c>
    </row>
    <row r="26" spans="1:28" x14ac:dyDescent="0.25">
      <c r="A26" s="4"/>
      <c r="B26" s="4"/>
      <c r="C26" s="4"/>
      <c r="D26" s="4"/>
      <c r="E26" s="4"/>
      <c r="F26" s="4"/>
      <c r="G26" s="4"/>
      <c r="H26" s="3" t="s">
        <v>5</v>
      </c>
      <c r="I26" s="4"/>
      <c r="J26" s="3" t="s">
        <v>43</v>
      </c>
    </row>
    <row r="27" spans="1:28" x14ac:dyDescent="0.25">
      <c r="A27" s="3"/>
      <c r="B27" s="3"/>
      <c r="C27" s="3"/>
      <c r="D27" s="3" t="s">
        <v>41</v>
      </c>
      <c r="E27" s="3"/>
      <c r="F27" s="3" t="s">
        <v>42</v>
      </c>
      <c r="G27" s="3"/>
      <c r="H27" s="3" t="s">
        <v>6</v>
      </c>
      <c r="I27" s="3"/>
      <c r="J27" s="3" t="s">
        <v>8</v>
      </c>
    </row>
    <row r="28" spans="1:28" x14ac:dyDescent="0.25">
      <c r="A28" s="3"/>
      <c r="B28" s="3"/>
      <c r="C28" s="3"/>
      <c r="D28" s="3" t="s">
        <v>40</v>
      </c>
      <c r="E28" s="3"/>
      <c r="F28" s="3" t="s">
        <v>6</v>
      </c>
      <c r="G28" s="3"/>
      <c r="H28" s="3" t="s">
        <v>7</v>
      </c>
      <c r="I28" s="3"/>
      <c r="J28" s="3" t="s">
        <v>9</v>
      </c>
    </row>
    <row r="29" spans="1:28" x14ac:dyDescent="0.25">
      <c r="A29" s="2"/>
      <c r="B29" s="3" t="s">
        <v>38</v>
      </c>
      <c r="C29" s="2"/>
      <c r="D29" s="20">
        <v>201</v>
      </c>
      <c r="E29" s="1"/>
      <c r="F29" s="20">
        <v>80</v>
      </c>
      <c r="G29" s="1"/>
      <c r="H29" s="20">
        <v>0</v>
      </c>
      <c r="I29" s="1"/>
      <c r="J29" s="20">
        <v>334</v>
      </c>
    </row>
    <row r="30" spans="1:28" x14ac:dyDescent="0.25">
      <c r="B30" s="3" t="s">
        <v>39</v>
      </c>
      <c r="D30" s="20">
        <f>SUM(D52)</f>
        <v>106</v>
      </c>
      <c r="E30" s="1"/>
      <c r="F30" s="20">
        <f>SUM(F52)</f>
        <v>36</v>
      </c>
      <c r="G30" s="1"/>
      <c r="H30" s="20">
        <f>SUM(H52)</f>
        <v>0</v>
      </c>
      <c r="I30" s="1"/>
      <c r="J30" s="20">
        <f>SUM(J52)</f>
        <v>105</v>
      </c>
    </row>
    <row r="31" spans="1:28" x14ac:dyDescent="0.25">
      <c r="A31" s="8"/>
      <c r="B31" s="8"/>
      <c r="C31" s="8"/>
      <c r="D31" s="21">
        <f>SUM(D29-D30)</f>
        <v>95</v>
      </c>
      <c r="E31" s="22"/>
      <c r="F31" s="21">
        <f>SUM(F29-F30)</f>
        <v>44</v>
      </c>
      <c r="G31" s="22"/>
      <c r="H31" s="21">
        <f>SUM(H29-H30)</f>
        <v>0</v>
      </c>
      <c r="I31" s="22"/>
      <c r="J31" s="21">
        <f>SUM(J29-J30)</f>
        <v>229</v>
      </c>
    </row>
    <row r="32" spans="1:28" x14ac:dyDescent="0.25">
      <c r="A32" s="26" t="s">
        <v>44</v>
      </c>
      <c r="B32" s="23"/>
      <c r="D32" s="19">
        <f>8+10+11+4</f>
        <v>33</v>
      </c>
      <c r="F32" s="19">
        <f>5+2+7+4</f>
        <v>18</v>
      </c>
      <c r="H32" s="19">
        <v>0</v>
      </c>
      <c r="J32" s="19">
        <f>3+8+19</f>
        <v>30</v>
      </c>
      <c r="L32" s="14">
        <f>18810+15801.5+29452.5+21224.5</f>
        <v>85288.5</v>
      </c>
    </row>
    <row r="33" spans="1:16" x14ac:dyDescent="0.25">
      <c r="A33" s="53" t="s">
        <v>121</v>
      </c>
      <c r="B33" s="23"/>
      <c r="D33" s="19"/>
      <c r="F33" s="19"/>
      <c r="H33" s="19"/>
      <c r="J33" s="19"/>
      <c r="L33" s="14">
        <f>253.5+472.5+340.5</f>
        <v>1066.5</v>
      </c>
    </row>
    <row r="34" spans="1:16" x14ac:dyDescent="0.25">
      <c r="A34" s="53" t="s">
        <v>122</v>
      </c>
      <c r="B34" s="23"/>
      <c r="D34" s="19"/>
      <c r="F34" s="19"/>
      <c r="H34" s="19"/>
      <c r="J34" s="19"/>
      <c r="L34" s="14">
        <f>990+845+1575+1135</f>
        <v>4545</v>
      </c>
    </row>
    <row r="35" spans="1:16" x14ac:dyDescent="0.25">
      <c r="A35" s="26"/>
      <c r="B35" s="23"/>
      <c r="D35" s="19"/>
      <c r="F35" s="19"/>
      <c r="H35" s="19"/>
      <c r="J35" s="19"/>
      <c r="L35" s="14"/>
    </row>
    <row r="36" spans="1:16" x14ac:dyDescent="0.25">
      <c r="A36" s="26" t="s">
        <v>45</v>
      </c>
      <c r="B36" s="23"/>
      <c r="D36" s="19">
        <f>4+11+12+5</f>
        <v>32</v>
      </c>
      <c r="F36" s="19">
        <f>3+4+4+4</f>
        <v>15</v>
      </c>
      <c r="H36" s="19">
        <v>0</v>
      </c>
      <c r="J36" s="19">
        <f>10+9+11</f>
        <v>30</v>
      </c>
      <c r="L36" s="14">
        <f>8569.99+18925.49+19391.13+14734.63</f>
        <v>61621.24</v>
      </c>
    </row>
    <row r="37" spans="1:16" x14ac:dyDescent="0.25">
      <c r="A37" s="53" t="s">
        <v>121</v>
      </c>
      <c r="B37" s="23"/>
      <c r="D37" s="19"/>
      <c r="F37" s="19"/>
      <c r="H37" s="19"/>
      <c r="J37" s="19"/>
      <c r="L37" s="14">
        <f>2100.01+6197.51+6319.87+4471.37</f>
        <v>19088.759999999998</v>
      </c>
    </row>
    <row r="38" spans="1:16" x14ac:dyDescent="0.25">
      <c r="A38" s="53" t="s">
        <v>122</v>
      </c>
      <c r="B38" s="23"/>
      <c r="D38" s="19"/>
      <c r="F38" s="19"/>
      <c r="H38" s="19"/>
      <c r="J38" s="19"/>
      <c r="L38" s="14">
        <f>330+777+795+594</f>
        <v>2496</v>
      </c>
    </row>
    <row r="39" spans="1:16" x14ac:dyDescent="0.25">
      <c r="A39" s="26"/>
      <c r="B39" s="23"/>
      <c r="D39" s="19"/>
      <c r="F39" s="19"/>
      <c r="H39" s="19"/>
      <c r="J39" s="19"/>
      <c r="L39" s="14"/>
    </row>
    <row r="40" spans="1:16" x14ac:dyDescent="0.25">
      <c r="A40" s="26" t="s">
        <v>47</v>
      </c>
      <c r="B40" s="23"/>
      <c r="D40" s="19">
        <f>8+12+13+8</f>
        <v>41</v>
      </c>
      <c r="F40" s="19">
        <f>3</f>
        <v>3</v>
      </c>
      <c r="H40" s="19">
        <v>0</v>
      </c>
      <c r="J40" s="19">
        <f>5+8+13</f>
        <v>26</v>
      </c>
      <c r="L40" s="14">
        <f>8228+14679.5+23281.5+14305.5</f>
        <v>60494.5</v>
      </c>
    </row>
    <row r="41" spans="1:16" x14ac:dyDescent="0.25">
      <c r="A41" s="53" t="s">
        <v>121</v>
      </c>
      <c r="B41" s="23"/>
      <c r="D41" s="19"/>
      <c r="F41" s="19"/>
      <c r="H41" s="19"/>
      <c r="J41" s="19"/>
      <c r="L41" s="14">
        <f>132+235.5+373.5+229.5</f>
        <v>970.5</v>
      </c>
    </row>
    <row r="42" spans="1:16" x14ac:dyDescent="0.25">
      <c r="A42" s="53" t="s">
        <v>122</v>
      </c>
      <c r="B42" s="23"/>
      <c r="D42" s="19"/>
      <c r="F42" s="19"/>
      <c r="H42" s="19"/>
      <c r="J42" s="19"/>
      <c r="L42" s="14">
        <f>440+785+1245+765</f>
        <v>3235</v>
      </c>
      <c r="P42" s="152"/>
    </row>
    <row r="43" spans="1:16" x14ac:dyDescent="0.25">
      <c r="A43" s="26"/>
      <c r="B43" s="23"/>
      <c r="D43" s="19"/>
      <c r="F43" s="19"/>
      <c r="H43" s="19"/>
      <c r="J43" s="19"/>
      <c r="L43" s="14"/>
    </row>
    <row r="44" spans="1:16" x14ac:dyDescent="0.25">
      <c r="A44" s="26" t="s">
        <v>48</v>
      </c>
      <c r="B44" s="23"/>
      <c r="D44" s="19">
        <v>0</v>
      </c>
      <c r="F44" s="19">
        <v>0</v>
      </c>
      <c r="H44" s="19">
        <v>0</v>
      </c>
      <c r="J44" s="19">
        <f>5+5</f>
        <v>10</v>
      </c>
      <c r="L44" s="14">
        <f>2337.5+2337.5</f>
        <v>4675</v>
      </c>
      <c r="P44" s="19"/>
    </row>
    <row r="45" spans="1:16" x14ac:dyDescent="0.25">
      <c r="A45" s="53" t="s">
        <v>121</v>
      </c>
      <c r="B45" s="23"/>
      <c r="D45" s="19"/>
      <c r="F45" s="19"/>
      <c r="H45" s="19"/>
      <c r="J45" s="19"/>
      <c r="L45" s="14">
        <f>37.5+37.5</f>
        <v>75</v>
      </c>
      <c r="P45" s="19"/>
    </row>
    <row r="46" spans="1:16" x14ac:dyDescent="0.25">
      <c r="A46" s="53" t="s">
        <v>122</v>
      </c>
      <c r="B46" s="23"/>
      <c r="D46" s="19"/>
      <c r="F46" s="19"/>
      <c r="H46" s="19"/>
      <c r="J46" s="19"/>
      <c r="L46" s="14">
        <f>125+125</f>
        <v>250</v>
      </c>
      <c r="P46" s="19"/>
    </row>
    <row r="47" spans="1:16" x14ac:dyDescent="0.25">
      <c r="A47" s="53"/>
      <c r="B47" s="23"/>
      <c r="D47" s="19"/>
      <c r="F47" s="19"/>
      <c r="H47" s="19"/>
      <c r="J47" s="19"/>
      <c r="L47" s="14"/>
      <c r="P47" s="19"/>
    </row>
    <row r="48" spans="1:16" x14ac:dyDescent="0.25">
      <c r="A48" s="26" t="s">
        <v>49</v>
      </c>
      <c r="B48" s="23"/>
      <c r="D48" s="19">
        <v>0</v>
      </c>
      <c r="F48" s="19">
        <v>0</v>
      </c>
      <c r="H48" s="19">
        <v>0</v>
      </c>
      <c r="J48" s="19">
        <f>6+3</f>
        <v>9</v>
      </c>
      <c r="L48" s="14">
        <f>3038.75+1402.5</f>
        <v>4441.25</v>
      </c>
      <c r="P48" s="19"/>
    </row>
    <row r="49" spans="1:16" x14ac:dyDescent="0.25">
      <c r="A49" s="53" t="s">
        <v>121</v>
      </c>
      <c r="B49" s="23"/>
      <c r="D49" s="19"/>
      <c r="F49" s="19"/>
      <c r="H49" s="19"/>
      <c r="J49" s="19"/>
      <c r="L49" s="14">
        <f>48.75+22.5</f>
        <v>71.25</v>
      </c>
      <c r="P49" s="19"/>
    </row>
    <row r="50" spans="1:16" x14ac:dyDescent="0.25">
      <c r="A50" s="53" t="s">
        <v>122</v>
      </c>
      <c r="B50" s="23"/>
      <c r="D50" s="19"/>
      <c r="F50" s="19"/>
      <c r="H50" s="19"/>
      <c r="J50" s="19"/>
      <c r="L50" s="14">
        <f>162.5+75</f>
        <v>237.5</v>
      </c>
    </row>
    <row r="51" spans="1:16" x14ac:dyDescent="0.25">
      <c r="B51" s="4"/>
      <c r="D51" s="24"/>
      <c r="E51" s="25"/>
      <c r="F51" s="24"/>
      <c r="G51" s="25"/>
      <c r="H51" s="24"/>
      <c r="I51" s="25"/>
      <c r="J51" s="24"/>
    </row>
    <row r="52" spans="1:16" x14ac:dyDescent="0.25">
      <c r="A52" s="7"/>
      <c r="B52" s="3" t="s">
        <v>32</v>
      </c>
      <c r="C52" s="4"/>
      <c r="D52" s="27">
        <f>SUM(D32:D48)</f>
        <v>106</v>
      </c>
      <c r="E52" s="4"/>
      <c r="F52" s="27">
        <f>SUM(F32:F48)</f>
        <v>36</v>
      </c>
      <c r="G52" s="4"/>
      <c r="H52" s="27">
        <f>SUM(H32:H48)</f>
        <v>0</v>
      </c>
      <c r="I52" s="4"/>
      <c r="J52" s="27">
        <f>SUM(J32:J48)</f>
        <v>105</v>
      </c>
      <c r="L52" s="7">
        <f>SUM(L32:L50)</f>
        <v>248556</v>
      </c>
      <c r="P52" s="153"/>
    </row>
    <row r="53" spans="1:16" x14ac:dyDescent="0.25">
      <c r="J53">
        <v>0.5</v>
      </c>
      <c r="L53" t="s">
        <v>49</v>
      </c>
    </row>
  </sheetData>
  <mergeCells count="3">
    <mergeCell ref="F1:X1"/>
    <mergeCell ref="L2:T2"/>
    <mergeCell ref="L3:T3"/>
  </mergeCells>
  <pageMargins left="0" right="0" top="0" bottom="0" header="0.31496062992125984" footer="0.31496062992125984"/>
  <pageSetup paperSize="9" scale="6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5"/>
  <sheetViews>
    <sheetView topLeftCell="A19" zoomScale="81" zoomScaleNormal="81" workbookViewId="0">
      <selection activeCell="E19" sqref="E19"/>
    </sheetView>
  </sheetViews>
  <sheetFormatPr defaultRowHeight="15" x14ac:dyDescent="0.25"/>
  <cols>
    <col min="1" max="1" width="15.140625" bestFit="1" customWidth="1"/>
    <col min="2" max="2" width="7.7109375" bestFit="1" customWidth="1"/>
    <col min="3" max="3" width="0.7109375" customWidth="1"/>
    <col min="4" max="4" width="14.85546875" bestFit="1" customWidth="1"/>
    <col min="5" max="5" width="0.7109375" customWidth="1"/>
    <col min="6" max="6" width="14.85546875" bestFit="1" customWidth="1"/>
    <col min="7" max="7" width="0.85546875" customWidth="1"/>
    <col min="8" max="8" width="15.5703125" bestFit="1" customWidth="1"/>
    <col min="9" max="9" width="0.85546875" customWidth="1"/>
    <col min="10" max="10" width="14.85546875" bestFit="1" customWidth="1"/>
    <col min="11" max="11" width="0.7109375" customWidth="1"/>
    <col min="12" max="12" width="15.140625" bestFit="1" customWidth="1"/>
    <col min="13" max="13" width="0.7109375" customWidth="1"/>
    <col min="14" max="14" width="13.7109375" bestFit="1" customWidth="1"/>
    <col min="15" max="15" width="0.7109375" customWidth="1"/>
    <col min="16" max="16" width="12.5703125" bestFit="1" customWidth="1"/>
    <col min="17" max="17" width="0.85546875" customWidth="1"/>
    <col min="18" max="18" width="13.7109375" bestFit="1" customWidth="1"/>
    <col min="19" max="19" width="0.85546875" customWidth="1"/>
    <col min="20" max="20" width="13.7109375" bestFit="1" customWidth="1"/>
    <col min="21" max="21" width="0.7109375" customWidth="1"/>
    <col min="22" max="22" width="17.5703125" bestFit="1" customWidth="1"/>
    <col min="23" max="23" width="0.5703125" customWidth="1"/>
    <col min="24" max="24" width="14.28515625" customWidth="1"/>
    <col min="25" max="25" width="0.5703125" customWidth="1"/>
    <col min="26" max="26" width="8.28515625" bestFit="1" customWidth="1"/>
    <col min="27" max="27" width="0.7109375" customWidth="1"/>
    <col min="28" max="28" width="14.85546875" bestFit="1" customWidth="1"/>
  </cols>
  <sheetData>
    <row r="1" spans="1:28" ht="31.5" x14ac:dyDescent="0.5">
      <c r="F1" s="305" t="s">
        <v>35</v>
      </c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</row>
    <row r="2" spans="1:28" ht="28.5" x14ac:dyDescent="0.45">
      <c r="L2" s="309" t="s">
        <v>33</v>
      </c>
      <c r="M2" s="309"/>
      <c r="N2" s="309"/>
      <c r="O2" s="309"/>
      <c r="P2" s="309"/>
      <c r="Q2" s="309"/>
      <c r="R2" s="309"/>
      <c r="S2" s="309"/>
      <c r="T2" s="309"/>
    </row>
    <row r="3" spans="1:28" ht="28.5" customHeight="1" x14ac:dyDescent="0.35">
      <c r="L3" s="310" t="s">
        <v>34</v>
      </c>
      <c r="M3" s="310"/>
      <c r="N3" s="310"/>
      <c r="O3" s="310"/>
      <c r="P3" s="310"/>
      <c r="Q3" s="310"/>
      <c r="R3" s="310"/>
      <c r="S3" s="310"/>
      <c r="T3" s="310"/>
    </row>
    <row r="4" spans="1:28" s="4" customFormat="1" ht="15.75" x14ac:dyDescent="0.25">
      <c r="H4" s="3"/>
      <c r="J4" s="3" t="s">
        <v>43</v>
      </c>
      <c r="L4" s="181">
        <v>12</v>
      </c>
      <c r="M4" s="181"/>
      <c r="N4" s="182">
        <v>6</v>
      </c>
      <c r="O4" s="183"/>
      <c r="P4" s="182">
        <v>5</v>
      </c>
      <c r="Q4" s="183"/>
      <c r="R4" s="183">
        <v>12</v>
      </c>
      <c r="S4" s="183"/>
      <c r="T4" s="181">
        <v>12</v>
      </c>
      <c r="U4" s="181"/>
      <c r="V4" s="182">
        <v>3</v>
      </c>
      <c r="X4" s="4" t="s">
        <v>18</v>
      </c>
    </row>
    <row r="5" spans="1:28" s="3" customFormat="1" x14ac:dyDescent="0.25">
      <c r="D5" s="3" t="s">
        <v>41</v>
      </c>
      <c r="F5" s="3" t="s">
        <v>42</v>
      </c>
      <c r="J5" s="3" t="s">
        <v>8</v>
      </c>
      <c r="L5" s="3" t="s">
        <v>244</v>
      </c>
      <c r="N5" s="3" t="s">
        <v>12</v>
      </c>
      <c r="P5" s="3" t="s">
        <v>0</v>
      </c>
      <c r="R5" s="3" t="s">
        <v>1</v>
      </c>
      <c r="T5" s="3" t="s">
        <v>245</v>
      </c>
      <c r="V5" s="3" t="s">
        <v>15</v>
      </c>
      <c r="X5" s="3" t="s">
        <v>19</v>
      </c>
      <c r="Z5" s="3" t="s">
        <v>21</v>
      </c>
    </row>
    <row r="6" spans="1:28" s="3" customFormat="1" x14ac:dyDescent="0.25">
      <c r="D6" s="3" t="s">
        <v>40</v>
      </c>
      <c r="F6" s="3" t="s">
        <v>6</v>
      </c>
      <c r="J6" s="3" t="s">
        <v>9</v>
      </c>
      <c r="L6" s="3" t="s">
        <v>243</v>
      </c>
      <c r="N6" s="3" t="s">
        <v>13</v>
      </c>
      <c r="T6" s="3" t="s">
        <v>246</v>
      </c>
      <c r="X6" s="3" t="s">
        <v>20</v>
      </c>
    </row>
    <row r="7" spans="1:28" s="151" customFormat="1" x14ac:dyDescent="0.25">
      <c r="D7" s="151">
        <v>1100</v>
      </c>
      <c r="F7" s="151">
        <v>2200</v>
      </c>
      <c r="J7" s="151">
        <v>500</v>
      </c>
      <c r="L7" s="151">
        <v>7500</v>
      </c>
      <c r="N7" s="151">
        <v>3000</v>
      </c>
      <c r="P7" s="151">
        <v>618</v>
      </c>
      <c r="R7" s="151">
        <v>4125</v>
      </c>
      <c r="T7" s="151">
        <v>4500</v>
      </c>
      <c r="V7" s="151">
        <v>21436</v>
      </c>
      <c r="X7" s="151">
        <v>45000</v>
      </c>
    </row>
    <row r="8" spans="1:28" s="2" customFormat="1" x14ac:dyDescent="0.25">
      <c r="B8" s="3" t="s">
        <v>38</v>
      </c>
      <c r="D8" s="1">
        <v>221100</v>
      </c>
      <c r="E8" s="1"/>
      <c r="F8" s="1">
        <v>176000</v>
      </c>
      <c r="G8" s="1"/>
      <c r="H8" s="1">
        <v>0</v>
      </c>
      <c r="I8" s="1"/>
      <c r="J8" s="1">
        <v>167000</v>
      </c>
      <c r="K8" s="1"/>
      <c r="L8" s="1">
        <v>90000</v>
      </c>
      <c r="M8" s="1"/>
      <c r="N8" s="1">
        <v>18000</v>
      </c>
      <c r="O8" s="1"/>
      <c r="P8" s="60">
        <v>3090</v>
      </c>
      <c r="Q8" s="60"/>
      <c r="R8" s="60">
        <v>49500</v>
      </c>
      <c r="S8" s="1"/>
      <c r="T8" s="1">
        <v>54000</v>
      </c>
      <c r="U8"/>
      <c r="V8" s="1">
        <v>64310</v>
      </c>
      <c r="W8"/>
      <c r="X8" s="1">
        <v>45000</v>
      </c>
      <c r="Y8"/>
      <c r="Z8" s="1">
        <v>0</v>
      </c>
      <c r="AB8" s="10">
        <f>SUM(D8:Z8)</f>
        <v>888000</v>
      </c>
    </row>
    <row r="9" spans="1:28" x14ac:dyDescent="0.25">
      <c r="B9" s="3" t="s">
        <v>39</v>
      </c>
      <c r="D9" s="1">
        <f>SUM(D24)</f>
        <v>0</v>
      </c>
      <c r="E9" s="1"/>
      <c r="F9" s="1">
        <f>SUM(F24)</f>
        <v>0</v>
      </c>
      <c r="G9" s="1"/>
      <c r="H9" s="1">
        <f>SUM(H24)</f>
        <v>430536.00000000006</v>
      </c>
      <c r="I9" s="1"/>
      <c r="J9" s="1">
        <f>SUM(J24)</f>
        <v>0</v>
      </c>
      <c r="K9" s="1"/>
      <c r="L9" s="1">
        <f>SUM(L24)</f>
        <v>74953.98</v>
      </c>
      <c r="M9" s="1"/>
      <c r="N9" s="1">
        <f>SUM(N24)</f>
        <v>26496.080000000002</v>
      </c>
      <c r="O9" s="1"/>
      <c r="P9" s="1">
        <f>SUM(P24)</f>
        <v>2222.5699999999997</v>
      </c>
      <c r="Q9" s="1"/>
      <c r="R9" s="1">
        <f>SUM(R24)</f>
        <v>40777.020000000004</v>
      </c>
      <c r="S9" s="1"/>
      <c r="T9" s="1">
        <f>SUM(T24)</f>
        <v>45589.59</v>
      </c>
      <c r="V9" s="1">
        <f>SUM(V24)</f>
        <v>90240.549999999988</v>
      </c>
      <c r="X9" s="1">
        <f>SUM(X24)</f>
        <v>42340.000000000007</v>
      </c>
      <c r="Z9" s="1">
        <f>SUM(Z24)</f>
        <v>0</v>
      </c>
      <c r="AB9" s="10">
        <f>SUM(D9:Z9)</f>
        <v>753155.79</v>
      </c>
    </row>
    <row r="10" spans="1:28" s="8" customFormat="1" ht="12.75" customHeight="1" x14ac:dyDescent="0.25">
      <c r="D10" s="12">
        <f>SUM(D8-D9)</f>
        <v>221100</v>
      </c>
      <c r="E10" s="13"/>
      <c r="F10" s="12">
        <f>SUM(F8-F9)</f>
        <v>176000</v>
      </c>
      <c r="G10" s="13"/>
      <c r="H10" s="12">
        <f>SUM(H8-H9)</f>
        <v>-430536.00000000006</v>
      </c>
      <c r="I10" s="13"/>
      <c r="J10" s="12">
        <f>SUM(J8-J9)</f>
        <v>167000</v>
      </c>
      <c r="K10" s="13"/>
      <c r="L10" s="12">
        <f>SUM(L8-L9)</f>
        <v>15046.020000000004</v>
      </c>
      <c r="M10" s="13"/>
      <c r="N10" s="12">
        <f>SUM(N8-N9)</f>
        <v>-8496.0800000000017</v>
      </c>
      <c r="O10" s="13"/>
      <c r="P10" s="12">
        <f>SUM(P8-P9)</f>
        <v>867.43000000000029</v>
      </c>
      <c r="Q10" s="13"/>
      <c r="R10" s="12">
        <f>SUM(R8-R9)</f>
        <v>8722.9799999999959</v>
      </c>
      <c r="S10" s="13"/>
      <c r="T10" s="12">
        <f>SUM(T8-T9)</f>
        <v>8410.4100000000035</v>
      </c>
      <c r="U10" s="13"/>
      <c r="V10" s="12">
        <f>SUM(V8-V9)</f>
        <v>-25930.549999999988</v>
      </c>
      <c r="W10" s="13"/>
      <c r="X10" s="12">
        <f>SUM(X8-X9)</f>
        <v>2659.9999999999927</v>
      </c>
      <c r="Y10" s="13"/>
      <c r="Z10" s="12">
        <f>SUM(Z8-Z9)</f>
        <v>0</v>
      </c>
      <c r="AB10" s="10">
        <f>SUM(D10:Z10)</f>
        <v>134844.20999999993</v>
      </c>
    </row>
    <row r="11" spans="1:28" s="32" customFormat="1" x14ac:dyDescent="0.25">
      <c r="A11" s="69"/>
      <c r="B11" s="32" t="s">
        <v>22</v>
      </c>
      <c r="D11" s="69">
        <v>0</v>
      </c>
      <c r="F11" s="69">
        <v>0</v>
      </c>
      <c r="H11" s="69">
        <f>18810+8569.99+8228</f>
        <v>35607.99</v>
      </c>
      <c r="J11" s="69">
        <v>0</v>
      </c>
      <c r="L11" s="69">
        <v>0</v>
      </c>
      <c r="N11" s="69">
        <v>0</v>
      </c>
      <c r="P11" s="69">
        <v>729.74</v>
      </c>
      <c r="R11" s="69">
        <v>5471.93</v>
      </c>
      <c r="T11" s="69">
        <f>1413.35</f>
        <v>1413.35</v>
      </c>
      <c r="V11" s="69">
        <f>2684.96+1347+954+1237+915+935+1316+1134+859+2910+1478+924+1280+925+3058+1046+1805+2057</f>
        <v>26864.959999999999</v>
      </c>
      <c r="X11" s="69">
        <v>0</v>
      </c>
      <c r="Z11" s="69">
        <v>0</v>
      </c>
      <c r="AB11" s="76">
        <f>SUM(D11:Z11)</f>
        <v>70087.97</v>
      </c>
    </row>
    <row r="12" spans="1:28" s="32" customFormat="1" x14ac:dyDescent="0.25">
      <c r="A12" s="69">
        <v>70250</v>
      </c>
      <c r="B12" s="32" t="s">
        <v>23</v>
      </c>
      <c r="D12" s="69">
        <v>0</v>
      </c>
      <c r="F12" s="69">
        <v>0</v>
      </c>
      <c r="H12" s="69">
        <f>14679.5+15801.5+18925.49+2337.5+3038.75</f>
        <v>54782.740000000005</v>
      </c>
      <c r="J12" s="69">
        <v>0</v>
      </c>
      <c r="L12" s="69">
        <f>4012.93</f>
        <v>4012.93</v>
      </c>
      <c r="N12" s="69">
        <f>1701.17+1715</f>
        <v>3416.17</v>
      </c>
      <c r="P12" s="69">
        <f>869.81</f>
        <v>869.81</v>
      </c>
      <c r="R12" s="69">
        <v>4857.83</v>
      </c>
      <c r="T12" s="69">
        <f>736.17+607.85+619.19</f>
        <v>1963.21</v>
      </c>
      <c r="V12" s="69">
        <v>0</v>
      </c>
      <c r="X12" s="69">
        <v>0</v>
      </c>
      <c r="Z12" s="69">
        <v>0</v>
      </c>
      <c r="AB12" s="76">
        <f t="shared" ref="AB12:AB22" si="0">SUM(D12:Z12)</f>
        <v>69902.69</v>
      </c>
    </row>
    <row r="13" spans="1:28" s="32" customFormat="1" x14ac:dyDescent="0.25">
      <c r="A13" s="69">
        <v>70250</v>
      </c>
      <c r="B13" s="32" t="s">
        <v>24</v>
      </c>
      <c r="D13" s="69">
        <v>0</v>
      </c>
      <c r="F13" s="69">
        <v>0</v>
      </c>
      <c r="H13" s="69"/>
      <c r="J13" s="69">
        <v>0</v>
      </c>
      <c r="L13" s="69">
        <f>2754.44+2025</f>
        <v>4779.4400000000005</v>
      </c>
      <c r="N13" s="69">
        <f>523.8+3402.34+3430</f>
        <v>7356.14</v>
      </c>
      <c r="P13" s="69">
        <v>623.02</v>
      </c>
      <c r="R13" s="69">
        <v>4675.84</v>
      </c>
      <c r="T13" s="69">
        <f>1570.37+608.83+2043.11+293.43</f>
        <v>4515.74</v>
      </c>
      <c r="V13" s="69">
        <f>791+989+1007+1365+1422+1303+624+826+843+1748.71+1475+1361+1525+955+1319+2956+1552+1209+898+1435+1465+873+661+1686+2632+1864+1302+5721.27+2574+1236+1112+2876.61+870</f>
        <v>50476.59</v>
      </c>
      <c r="X13" s="69">
        <v>0</v>
      </c>
      <c r="Z13" s="69">
        <v>0</v>
      </c>
      <c r="AB13" s="76">
        <f t="shared" si="0"/>
        <v>72426.76999999999</v>
      </c>
    </row>
    <row r="14" spans="1:28" s="32" customFormat="1" x14ac:dyDescent="0.25">
      <c r="A14" s="69">
        <v>70250</v>
      </c>
      <c r="B14" s="32" t="s">
        <v>25</v>
      </c>
      <c r="D14" s="69">
        <v>0</v>
      </c>
      <c r="F14" s="69">
        <v>0</v>
      </c>
      <c r="H14" s="69">
        <f>29452.5+23281.5+19391.13</f>
        <v>72125.13</v>
      </c>
      <c r="J14" s="69">
        <v>0</v>
      </c>
      <c r="L14" s="69">
        <v>0</v>
      </c>
      <c r="N14" s="69">
        <v>0</v>
      </c>
      <c r="P14" s="69">
        <v>0</v>
      </c>
      <c r="R14" s="69">
        <v>0</v>
      </c>
      <c r="T14" s="69">
        <v>0</v>
      </c>
      <c r="V14" s="69">
        <v>0</v>
      </c>
      <c r="X14" s="69">
        <v>0</v>
      </c>
      <c r="Z14" s="69">
        <v>0</v>
      </c>
      <c r="AB14" s="76">
        <f t="shared" si="0"/>
        <v>72125.13</v>
      </c>
    </row>
    <row r="15" spans="1:28" s="32" customFormat="1" x14ac:dyDescent="0.25">
      <c r="A15" s="69">
        <v>70250</v>
      </c>
      <c r="B15" s="32" t="s">
        <v>26</v>
      </c>
      <c r="D15" s="69">
        <v>0</v>
      </c>
      <c r="F15" s="69">
        <v>0</v>
      </c>
      <c r="H15" s="69">
        <f>21224.5+2337.5+14734.63+14305.5+970</f>
        <v>53572.13</v>
      </c>
      <c r="J15" s="69">
        <v>0</v>
      </c>
      <c r="L15" s="69">
        <f>1350</f>
        <v>1350</v>
      </c>
      <c r="N15" s="69">
        <v>0</v>
      </c>
      <c r="P15" s="69">
        <v>0</v>
      </c>
      <c r="R15" s="69">
        <v>0</v>
      </c>
      <c r="T15" s="69">
        <f>4.98+11.2+76.88+47.41+75.85+164.47+27.99+123.87+4.95+212.05+9.9+152.81+907.76+690.44+796.57+322.74+134.66+413.15+436.78+341.8</f>
        <v>4956.26</v>
      </c>
      <c r="V15" s="69">
        <f>3079+4489+2450+2881</f>
        <v>12899</v>
      </c>
      <c r="X15" s="69">
        <v>8932.0300000000007</v>
      </c>
      <c r="Z15" s="69">
        <v>0</v>
      </c>
      <c r="AB15" s="76">
        <f t="shared" si="0"/>
        <v>81709.42</v>
      </c>
    </row>
    <row r="16" spans="1:28" s="32" customFormat="1" x14ac:dyDescent="0.25">
      <c r="A16" s="69">
        <v>70250</v>
      </c>
      <c r="B16" s="32" t="s">
        <v>27</v>
      </c>
      <c r="D16" s="69">
        <v>0</v>
      </c>
      <c r="F16" s="69">
        <v>0</v>
      </c>
      <c r="H16" s="69">
        <f>11461.65+1954.7+2978.8+10356.13+6460+6930</f>
        <v>40141.279999999999</v>
      </c>
      <c r="J16" s="69">
        <v>0</v>
      </c>
      <c r="L16" s="69">
        <f>3385.99+2475+4297.91+2825.38</f>
        <v>12984.279999999999</v>
      </c>
      <c r="N16" s="69">
        <f>3402.34</f>
        <v>3402.34</v>
      </c>
      <c r="P16" s="69">
        <v>0</v>
      </c>
      <c r="R16" s="69">
        <v>3690.55</v>
      </c>
      <c r="T16" s="69">
        <f>695.59+2157.9+268.71+1288.23</f>
        <v>4410.43</v>
      </c>
      <c r="V16" s="69">
        <v>0</v>
      </c>
      <c r="X16" s="69">
        <v>0</v>
      </c>
      <c r="Z16" s="69">
        <v>0</v>
      </c>
      <c r="AB16" s="76">
        <f t="shared" si="0"/>
        <v>64628.88</v>
      </c>
    </row>
    <row r="17" spans="1:28" s="32" customFormat="1" x14ac:dyDescent="0.25">
      <c r="A17" s="69">
        <v>70250</v>
      </c>
      <c r="B17" s="32" t="s">
        <v>28</v>
      </c>
      <c r="D17" s="69">
        <v>0</v>
      </c>
      <c r="F17" s="69">
        <v>0</v>
      </c>
      <c r="H17" s="69">
        <f>11968+15104.5+1777+9291.89+3820.55</f>
        <v>41961.94</v>
      </c>
      <c r="J17" s="69">
        <v>0</v>
      </c>
      <c r="L17" s="69">
        <f>2350+4469.88</f>
        <v>6819.88</v>
      </c>
      <c r="N17" s="69">
        <f>371.75+1701.17</f>
        <v>2072.92</v>
      </c>
      <c r="P17" s="69">
        <v>0</v>
      </c>
      <c r="R17" s="69">
        <v>3200.29</v>
      </c>
      <c r="T17" s="69">
        <f>79.97+282.79+825.13+2015.55+310.18+605.45</f>
        <v>4119.07</v>
      </c>
      <c r="V17" s="69">
        <v>0</v>
      </c>
      <c r="X17" s="69">
        <f>10274.53+1483.2+2183.83+2039.33+1854.83+3420.02</f>
        <v>21255.74</v>
      </c>
      <c r="Z17" s="69">
        <v>0</v>
      </c>
      <c r="AB17" s="76">
        <f t="shared" si="0"/>
        <v>79429.84</v>
      </c>
    </row>
    <row r="18" spans="1:28" s="32" customFormat="1" x14ac:dyDescent="0.25">
      <c r="A18" s="69">
        <v>70250</v>
      </c>
      <c r="B18" s="32" t="s">
        <v>29</v>
      </c>
      <c r="D18" s="69">
        <v>0</v>
      </c>
      <c r="F18" s="69">
        <v>0</v>
      </c>
      <c r="H18" s="69">
        <f>17293.15+3017.44+6219.5+3554+4552.86+10773.13</f>
        <v>45410.079999999994</v>
      </c>
      <c r="J18" s="69">
        <v>0</v>
      </c>
      <c r="L18" s="69">
        <f>3649.01+2082.35+1575</f>
        <v>7306.3600000000006</v>
      </c>
      <c r="N18" s="69">
        <v>0</v>
      </c>
      <c r="P18" s="69">
        <v>0</v>
      </c>
      <c r="R18" s="69">
        <v>0</v>
      </c>
      <c r="T18" s="69">
        <f>534.62+758.85+1459.24+302</f>
        <v>3054.71</v>
      </c>
      <c r="V18" s="69">
        <v>0</v>
      </c>
      <c r="X18" s="69">
        <v>3351.44</v>
      </c>
      <c r="Z18" s="69">
        <v>0</v>
      </c>
      <c r="AB18" s="76">
        <f t="shared" si="0"/>
        <v>59122.59</v>
      </c>
    </row>
    <row r="19" spans="1:28" s="32" customFormat="1" x14ac:dyDescent="0.25">
      <c r="A19" s="69">
        <v>70250</v>
      </c>
      <c r="B19" s="32" t="s">
        <v>30</v>
      </c>
      <c r="D19" s="69">
        <v>0</v>
      </c>
      <c r="F19" s="69">
        <v>0</v>
      </c>
      <c r="H19" s="69">
        <f>18125.4+1332.75+3109.75+11815.63+9151.55</f>
        <v>43535.08</v>
      </c>
      <c r="J19" s="69">
        <v>0</v>
      </c>
      <c r="L19" s="69">
        <f>3295.63+379.2+702.1+875+450</f>
        <v>5701.93</v>
      </c>
      <c r="N19" s="69">
        <v>0</v>
      </c>
      <c r="P19" s="69">
        <v>0</v>
      </c>
      <c r="R19" s="69">
        <v>3025.25</v>
      </c>
      <c r="T19" s="69">
        <f>613.84+935.7+2968.09</f>
        <v>4517.63</v>
      </c>
      <c r="V19" s="69">
        <v>0</v>
      </c>
      <c r="X19" s="69">
        <v>4468.6400000000003</v>
      </c>
      <c r="Z19" s="69">
        <v>0</v>
      </c>
      <c r="AB19" s="76">
        <f t="shared" si="0"/>
        <v>61248.53</v>
      </c>
    </row>
    <row r="20" spans="1:28" s="32" customFormat="1" x14ac:dyDescent="0.25">
      <c r="A20" s="69">
        <v>70250</v>
      </c>
      <c r="B20" s="32" t="s">
        <v>31</v>
      </c>
      <c r="D20" s="69">
        <v>0</v>
      </c>
      <c r="F20" s="69">
        <v>0</v>
      </c>
      <c r="H20" s="69">
        <f>2221.25+12302.13+12794.4+10839.7+5242.15</f>
        <v>43399.63</v>
      </c>
      <c r="J20" s="69">
        <v>0</v>
      </c>
      <c r="L20" s="69">
        <f>1879.16+2051.62+675+550</f>
        <v>5155.78</v>
      </c>
      <c r="N20" s="69">
        <f>1701.17+1715</f>
        <v>3416.17</v>
      </c>
      <c r="P20" s="69">
        <v>0</v>
      </c>
      <c r="R20" s="69">
        <v>4304.33</v>
      </c>
      <c r="T20" s="69">
        <f>693.28+296.99+1211.32+327.24+737.37+2792.55</f>
        <v>6058.75</v>
      </c>
      <c r="V20" s="69">
        <v>0</v>
      </c>
      <c r="X20" s="69">
        <v>4332.1499999999996</v>
      </c>
      <c r="Z20" s="69">
        <v>0</v>
      </c>
      <c r="AB20" s="76">
        <f t="shared" si="0"/>
        <v>66666.81</v>
      </c>
    </row>
    <row r="21" spans="1:28" s="61" customFormat="1" x14ac:dyDescent="0.25">
      <c r="A21" s="69">
        <v>70250</v>
      </c>
      <c r="B21" s="32" t="s">
        <v>36</v>
      </c>
      <c r="D21" s="78">
        <v>0</v>
      </c>
      <c r="F21" s="78">
        <v>0</v>
      </c>
      <c r="H21" s="78">
        <v>0</v>
      </c>
      <c r="J21" s="78">
        <v>0</v>
      </c>
      <c r="L21" s="78">
        <f>1377.37+3333.25+675+2124.74+2955.65+1377.37</f>
        <v>11843.380000000001</v>
      </c>
      <c r="N21" s="69">
        <f>1701.17+1715</f>
        <v>3416.17</v>
      </c>
      <c r="P21" s="78">
        <v>0</v>
      </c>
      <c r="R21" s="78">
        <v>5551</v>
      </c>
      <c r="T21" s="78">
        <f>736.84+741+225.9+101.38+259.68+17.65+36.38+52.79+17.98+102.01+714.04+197.56+908.58+468.65</f>
        <v>4580.4400000000005</v>
      </c>
      <c r="V21" s="78">
        <v>0</v>
      </c>
      <c r="X21" s="78">
        <v>0</v>
      </c>
      <c r="Z21" s="69">
        <v>0</v>
      </c>
      <c r="AB21" s="76">
        <f t="shared" si="0"/>
        <v>25390.990000000005</v>
      </c>
    </row>
    <row r="22" spans="1:28" s="62" customFormat="1" x14ac:dyDescent="0.25">
      <c r="A22" s="14">
        <v>140500</v>
      </c>
      <c r="B22" s="9" t="s">
        <v>37</v>
      </c>
      <c r="D22" s="60">
        <v>0</v>
      </c>
      <c r="F22" s="60">
        <v>0</v>
      </c>
      <c r="H22" s="60">
        <v>0</v>
      </c>
      <c r="J22" s="60">
        <v>0</v>
      </c>
      <c r="L22" s="208">
        <v>15000</v>
      </c>
      <c r="N22" s="209">
        <f>1701.17+1715</f>
        <v>3416.17</v>
      </c>
      <c r="P22" s="78">
        <v>0</v>
      </c>
      <c r="R22" s="208">
        <v>6000</v>
      </c>
      <c r="T22" s="208">
        <v>6000</v>
      </c>
      <c r="V22" s="78">
        <v>0</v>
      </c>
      <c r="W22" s="61"/>
      <c r="X22" s="78">
        <v>0</v>
      </c>
      <c r="Z22" s="60">
        <v>0</v>
      </c>
      <c r="AB22" s="11">
        <f t="shared" si="0"/>
        <v>30416.17</v>
      </c>
    </row>
    <row r="23" spans="1:28" ht="6.75" customHeight="1" x14ac:dyDescent="0.25">
      <c r="B23" s="4"/>
      <c r="D23" s="6"/>
      <c r="E23" s="5"/>
      <c r="F23" s="6"/>
      <c r="G23" s="5"/>
      <c r="H23" s="6"/>
      <c r="I23" s="5"/>
      <c r="J23" s="6"/>
      <c r="K23" s="5"/>
      <c r="L23" s="6"/>
      <c r="M23" s="5"/>
      <c r="N23" s="6"/>
      <c r="O23" s="5"/>
      <c r="P23" s="6"/>
      <c r="Q23" s="5"/>
      <c r="R23" s="6"/>
      <c r="S23" s="5"/>
      <c r="T23" s="6"/>
      <c r="U23" s="5"/>
      <c r="V23" s="6"/>
      <c r="W23" s="5"/>
      <c r="X23" s="6"/>
      <c r="Y23" s="5"/>
      <c r="Z23" s="6"/>
      <c r="AB23" s="4"/>
    </row>
    <row r="24" spans="1:28" s="4" customFormat="1" x14ac:dyDescent="0.25">
      <c r="A24" s="7">
        <f>SUM(A11:A23)</f>
        <v>843000</v>
      </c>
      <c r="B24" s="3" t="s">
        <v>32</v>
      </c>
      <c r="D24" s="14">
        <f>SUM(D11:D22)</f>
        <v>0</v>
      </c>
      <c r="F24" s="14">
        <f>SUM(F11:F22)</f>
        <v>0</v>
      </c>
      <c r="H24" s="14">
        <f>SUM(H11:H22)</f>
        <v>430536.00000000006</v>
      </c>
      <c r="J24" s="14">
        <f>SUM(J11:J22)</f>
        <v>0</v>
      </c>
      <c r="L24" s="14">
        <f>SUM(L11:L22)</f>
        <v>74953.98</v>
      </c>
      <c r="N24" s="14">
        <f>SUM(N11:N22)</f>
        <v>26496.080000000002</v>
      </c>
      <c r="P24" s="14">
        <f>SUM(P11:P22)</f>
        <v>2222.5699999999997</v>
      </c>
      <c r="R24" s="14">
        <f>SUM(R11:R22)</f>
        <v>40777.020000000004</v>
      </c>
      <c r="T24" s="14">
        <f>SUM(T11:T22)</f>
        <v>45589.59</v>
      </c>
      <c r="V24" s="14">
        <f>SUM(V11:V22)</f>
        <v>90240.549999999988</v>
      </c>
      <c r="X24" s="14">
        <f>SUM(X11:X22)</f>
        <v>42340.000000000007</v>
      </c>
      <c r="Z24" s="14">
        <f>SUM(Z11:Z22)</f>
        <v>0</v>
      </c>
      <c r="AB24" s="7">
        <f>SUM(AB11:AB23)</f>
        <v>753155.78999999992</v>
      </c>
    </row>
    <row r="25" spans="1:28" x14ac:dyDescent="0.25">
      <c r="L25">
        <v>12</v>
      </c>
      <c r="N25">
        <v>6</v>
      </c>
      <c r="P25">
        <v>3</v>
      </c>
      <c r="R25">
        <v>12</v>
      </c>
      <c r="T25">
        <v>12</v>
      </c>
      <c r="V25">
        <v>3</v>
      </c>
    </row>
    <row r="26" spans="1:28" x14ac:dyDescent="0.25">
      <c r="A26" s="4"/>
      <c r="B26" s="4"/>
      <c r="C26" s="4"/>
      <c r="D26" s="4"/>
      <c r="E26" s="4"/>
      <c r="F26" s="4"/>
      <c r="G26" s="4"/>
      <c r="H26" s="3" t="s">
        <v>5</v>
      </c>
      <c r="I26" s="4"/>
      <c r="J26" s="3" t="s">
        <v>43</v>
      </c>
      <c r="L26">
        <v>10</v>
      </c>
      <c r="N26">
        <v>7</v>
      </c>
      <c r="P26">
        <v>3</v>
      </c>
      <c r="R26">
        <v>9</v>
      </c>
      <c r="T26">
        <v>11</v>
      </c>
      <c r="V26">
        <v>3</v>
      </c>
    </row>
    <row r="27" spans="1:28" x14ac:dyDescent="0.25">
      <c r="A27" s="3"/>
      <c r="B27" s="3"/>
      <c r="C27" s="3"/>
      <c r="D27" s="3" t="s">
        <v>41</v>
      </c>
      <c r="E27" s="3"/>
      <c r="F27" s="3" t="s">
        <v>42</v>
      </c>
      <c r="G27" s="3"/>
      <c r="H27" s="3" t="s">
        <v>6</v>
      </c>
      <c r="I27" s="3"/>
      <c r="J27" s="3" t="s">
        <v>8</v>
      </c>
    </row>
    <row r="28" spans="1:28" x14ac:dyDescent="0.25">
      <c r="A28" s="3"/>
      <c r="B28" s="3"/>
      <c r="C28" s="3"/>
      <c r="D28" s="3" t="s">
        <v>40</v>
      </c>
      <c r="E28" s="3"/>
      <c r="F28" s="3" t="s">
        <v>6</v>
      </c>
      <c r="G28" s="3"/>
      <c r="H28" s="3" t="s">
        <v>7</v>
      </c>
      <c r="I28" s="3"/>
      <c r="J28" s="3" t="s">
        <v>9</v>
      </c>
      <c r="L28">
        <v>15000</v>
      </c>
      <c r="N28">
        <v>-8496.08</v>
      </c>
      <c r="P28">
        <v>867</v>
      </c>
      <c r="R28">
        <v>8700</v>
      </c>
      <c r="T28">
        <v>8400</v>
      </c>
      <c r="V28">
        <v>-25930.55</v>
      </c>
    </row>
    <row r="29" spans="1:28" x14ac:dyDescent="0.25">
      <c r="A29" s="2"/>
      <c r="B29" s="3" t="s">
        <v>38</v>
      </c>
      <c r="C29" s="2"/>
      <c r="D29" s="20">
        <v>201</v>
      </c>
      <c r="E29" s="1"/>
      <c r="F29" s="20">
        <v>80</v>
      </c>
      <c r="G29" s="1"/>
      <c r="H29" s="20">
        <v>0</v>
      </c>
      <c r="I29" s="1"/>
      <c r="J29" s="20">
        <v>334</v>
      </c>
    </row>
    <row r="30" spans="1:28" x14ac:dyDescent="0.25">
      <c r="B30" s="3" t="s">
        <v>39</v>
      </c>
      <c r="D30" s="20">
        <f>SUM(D105)</f>
        <v>198</v>
      </c>
      <c r="E30" s="1"/>
      <c r="F30" s="20">
        <f>SUM(F105)</f>
        <v>71</v>
      </c>
      <c r="G30" s="1"/>
      <c r="H30" s="20">
        <f>SUM(H105)</f>
        <v>0</v>
      </c>
      <c r="I30" s="1"/>
      <c r="J30" s="20">
        <f>SUM(J105)</f>
        <v>255</v>
      </c>
    </row>
    <row r="31" spans="1:28" x14ac:dyDescent="0.25">
      <c r="A31" s="8"/>
      <c r="B31" s="8"/>
      <c r="C31" s="8"/>
      <c r="D31" s="21">
        <f>SUM(D29-D30)</f>
        <v>3</v>
      </c>
      <c r="E31" s="22"/>
      <c r="F31" s="21">
        <f>SUM(F29-F30)</f>
        <v>9</v>
      </c>
      <c r="G31" s="22"/>
      <c r="H31" s="21">
        <f>SUM(H29-H30)</f>
        <v>0</v>
      </c>
      <c r="I31" s="22"/>
      <c r="J31" s="21">
        <f>SUM(J29-J30)</f>
        <v>79</v>
      </c>
    </row>
    <row r="32" spans="1:28" x14ac:dyDescent="0.25">
      <c r="A32" s="191" t="s">
        <v>44</v>
      </c>
      <c r="B32" s="23"/>
      <c r="D32" s="19">
        <f>3+8+2+6+5+4+11+10+8</f>
        <v>57</v>
      </c>
      <c r="F32" s="19">
        <f>3+3+5+1+2+4+7+2+5</f>
        <v>32</v>
      </c>
      <c r="H32" s="19">
        <v>0</v>
      </c>
      <c r="J32" s="19">
        <f>9+10+11+8+6+19+8+3</f>
        <v>74</v>
      </c>
      <c r="L32" s="14">
        <f>12794.4+18125.4+17293.15+11968+11461.65+21224.5+29452.5+15801.5+18810</f>
        <v>156931.1</v>
      </c>
    </row>
    <row r="33" spans="1:12" x14ac:dyDescent="0.25">
      <c r="A33" s="192" t="s">
        <v>252</v>
      </c>
      <c r="B33" s="23"/>
      <c r="D33" s="19"/>
      <c r="F33" s="19"/>
      <c r="H33" s="19"/>
      <c r="J33" s="19"/>
      <c r="L33" s="14">
        <f>93.6+132.6+121.55+83.85</f>
        <v>431.6</v>
      </c>
    </row>
    <row r="34" spans="1:12" x14ac:dyDescent="0.25">
      <c r="A34" s="192" t="s">
        <v>253</v>
      </c>
      <c r="B34" s="23"/>
      <c r="D34" s="19"/>
      <c r="F34" s="19"/>
      <c r="H34" s="19"/>
      <c r="J34" s="19"/>
      <c r="L34" s="14">
        <f>432+612+51.1+387</f>
        <v>1482.1</v>
      </c>
    </row>
    <row r="35" spans="1:12" x14ac:dyDescent="0.25">
      <c r="A35" s="192" t="s">
        <v>254</v>
      </c>
      <c r="B35" s="23"/>
      <c r="D35" s="19"/>
      <c r="F35" s="19"/>
      <c r="H35" s="19"/>
      <c r="J35" s="19"/>
      <c r="L35" s="14">
        <f>0</f>
        <v>0</v>
      </c>
    </row>
    <row r="36" spans="1:12" x14ac:dyDescent="0.25">
      <c r="A36" s="192" t="s">
        <v>121</v>
      </c>
      <c r="B36" s="23"/>
      <c r="D36" s="19"/>
      <c r="F36" s="19"/>
      <c r="H36" s="19"/>
      <c r="J36" s="19"/>
      <c r="L36" s="14">
        <f>216+306+280.5+192+193.5+340.5+472.5+253.5</f>
        <v>2254.5</v>
      </c>
    </row>
    <row r="37" spans="1:12" x14ac:dyDescent="0.25">
      <c r="A37" s="192" t="s">
        <v>255</v>
      </c>
      <c r="B37" s="23"/>
      <c r="D37" s="19"/>
      <c r="F37" s="19"/>
      <c r="H37" s="19"/>
      <c r="J37" s="19"/>
      <c r="L37" s="14">
        <f>144+204+18.7+129</f>
        <v>495.7</v>
      </c>
    </row>
    <row r="38" spans="1:12" x14ac:dyDescent="0.25">
      <c r="A38" s="192" t="s">
        <v>122</v>
      </c>
      <c r="B38" s="23"/>
      <c r="D38" s="19"/>
      <c r="F38" s="19"/>
      <c r="H38" s="19"/>
      <c r="J38" s="19"/>
      <c r="L38" s="14">
        <f>720+1020+935+640+645+1135+1575+845+990</f>
        <v>8505</v>
      </c>
    </row>
    <row r="39" spans="1:12" x14ac:dyDescent="0.25">
      <c r="A39" s="192"/>
      <c r="B39" s="23"/>
      <c r="D39" s="19"/>
      <c r="F39" s="19"/>
      <c r="H39" s="19"/>
      <c r="J39" s="19"/>
      <c r="L39" s="193">
        <f>SUM(L32:L38)</f>
        <v>170100.00000000003</v>
      </c>
    </row>
    <row r="40" spans="1:12" x14ac:dyDescent="0.25">
      <c r="A40" s="26"/>
      <c r="B40" s="23"/>
      <c r="D40" s="19"/>
      <c r="F40" s="19"/>
      <c r="H40" s="19"/>
      <c r="J40" s="19"/>
      <c r="L40" s="14"/>
    </row>
    <row r="41" spans="1:12" ht="17.25" x14ac:dyDescent="0.4">
      <c r="A41" s="188" t="s">
        <v>45</v>
      </c>
      <c r="B41" s="23"/>
      <c r="D41" s="19">
        <f>5+5+7+6+6+5+12+11+4</f>
        <v>61</v>
      </c>
      <c r="F41" s="19">
        <f>4+3+2+2+2+4+4+4+4</f>
        <v>29</v>
      </c>
      <c r="H41" s="19">
        <v>0</v>
      </c>
      <c r="J41" s="19">
        <f>4+7+4+4+5+11+9+10</f>
        <v>54</v>
      </c>
      <c r="L41" s="14">
        <f>12302.13+11815.63+9291.89+10356.13+19391.13+18925.49+8569.99</f>
        <v>90652.39</v>
      </c>
    </row>
    <row r="42" spans="1:12" x14ac:dyDescent="0.25">
      <c r="A42" s="185" t="s">
        <v>252</v>
      </c>
      <c r="B42" s="23"/>
      <c r="D42" s="19"/>
      <c r="F42" s="19"/>
      <c r="H42" s="19"/>
      <c r="J42" s="19"/>
      <c r="L42" s="14">
        <v>0</v>
      </c>
    </row>
    <row r="43" spans="1:12" x14ac:dyDescent="0.25">
      <c r="A43" s="185" t="s">
        <v>253</v>
      </c>
      <c r="B43" s="23"/>
      <c r="D43" s="19"/>
      <c r="F43" s="19"/>
      <c r="H43" s="19"/>
      <c r="J43" s="19"/>
      <c r="L43" s="14">
        <v>0</v>
      </c>
    </row>
    <row r="44" spans="1:12" x14ac:dyDescent="0.25">
      <c r="A44" s="185" t="s">
        <v>254</v>
      </c>
      <c r="B44" s="23"/>
      <c r="D44" s="19"/>
      <c r="F44" s="19"/>
      <c r="H44" s="19"/>
      <c r="J44" s="19"/>
      <c r="L44" s="14">
        <v>0</v>
      </c>
    </row>
    <row r="45" spans="1:12" x14ac:dyDescent="0.25">
      <c r="A45" s="185" t="s">
        <v>121</v>
      </c>
      <c r="B45" s="23"/>
      <c r="D45" s="19"/>
      <c r="F45" s="19"/>
      <c r="H45" s="19"/>
      <c r="J45" s="19"/>
      <c r="L45" s="14">
        <f>3508.87+3316.37+3318.11+2738.87+6313.87+6197.51+2100.01</f>
        <v>27493.61</v>
      </c>
    </row>
    <row r="46" spans="1:12" x14ac:dyDescent="0.25">
      <c r="A46" s="185" t="s">
        <v>255</v>
      </c>
      <c r="B46" s="23"/>
      <c r="D46" s="19"/>
      <c r="F46" s="19"/>
      <c r="H46" s="19"/>
      <c r="J46" s="19"/>
      <c r="L46" s="14">
        <v>0</v>
      </c>
    </row>
    <row r="47" spans="1:12" x14ac:dyDescent="0.25">
      <c r="A47" s="185" t="s">
        <v>122</v>
      </c>
      <c r="B47" s="23"/>
      <c r="D47" s="19"/>
      <c r="F47" s="19"/>
      <c r="H47" s="19"/>
      <c r="J47" s="19"/>
      <c r="L47" s="14">
        <f>489+468+390+405+795+777+330</f>
        <v>3654</v>
      </c>
    </row>
    <row r="48" spans="1:12" x14ac:dyDescent="0.25">
      <c r="A48" s="185"/>
      <c r="B48" s="23"/>
      <c r="D48" s="19"/>
      <c r="F48" s="19"/>
      <c r="H48" s="19"/>
      <c r="J48" s="19"/>
      <c r="L48" s="184">
        <f>SUM(L41:L47)</f>
        <v>121800</v>
      </c>
    </row>
    <row r="49" spans="1:16" x14ac:dyDescent="0.25">
      <c r="A49" s="53"/>
      <c r="B49" s="23"/>
      <c r="D49" s="19"/>
      <c r="F49" s="19"/>
      <c r="H49" s="19"/>
      <c r="J49" s="19"/>
      <c r="L49" s="14"/>
    </row>
    <row r="50" spans="1:16" ht="17.25" x14ac:dyDescent="0.4">
      <c r="A50" s="199" t="s">
        <v>47</v>
      </c>
      <c r="B50" s="23"/>
      <c r="D50" s="19">
        <f>4+8+5+6+5+8+13+12+8</f>
        <v>69</v>
      </c>
      <c r="F50" s="19">
        <f>2+3</f>
        <v>5</v>
      </c>
      <c r="H50" s="19">
        <v>0</v>
      </c>
      <c r="J50" s="19">
        <f>3+3+3+12+4+13+8+5</f>
        <v>51</v>
      </c>
      <c r="L50" s="14">
        <f>5242.15+9151.55+6219.5+15104.5+6930+14305.5+23281.5+14679.5+8228</f>
        <v>103142.2</v>
      </c>
    </row>
    <row r="51" spans="1:16" x14ac:dyDescent="0.25">
      <c r="A51" s="190" t="s">
        <v>252</v>
      </c>
      <c r="B51" s="23"/>
      <c r="D51" s="19"/>
      <c r="F51" s="19"/>
      <c r="H51" s="19"/>
      <c r="J51" s="19"/>
      <c r="L51" s="14">
        <f>38.35+66.95+45.5+110.5+48.75</f>
        <v>310.05</v>
      </c>
    </row>
    <row r="52" spans="1:16" x14ac:dyDescent="0.25">
      <c r="A52" s="190" t="s">
        <v>253</v>
      </c>
      <c r="B52" s="23"/>
      <c r="D52" s="19"/>
      <c r="F52" s="19"/>
      <c r="H52" s="19"/>
      <c r="J52" s="19"/>
      <c r="L52" s="14">
        <f>210+510+26.25</f>
        <v>746.25</v>
      </c>
      <c r="P52" s="152"/>
    </row>
    <row r="53" spans="1:16" x14ac:dyDescent="0.25">
      <c r="A53" s="190" t="s">
        <v>254</v>
      </c>
      <c r="B53" s="23"/>
      <c r="D53" s="19"/>
      <c r="F53" s="19"/>
      <c r="H53" s="19"/>
      <c r="J53" s="19"/>
      <c r="L53" s="14">
        <f>0</f>
        <v>0</v>
      </c>
      <c r="P53" s="152"/>
    </row>
    <row r="54" spans="1:16" x14ac:dyDescent="0.25">
      <c r="A54" s="190" t="s">
        <v>121</v>
      </c>
      <c r="B54" s="23"/>
      <c r="D54" s="19"/>
      <c r="F54" s="19"/>
      <c r="H54" s="19"/>
      <c r="J54" s="19"/>
      <c r="L54" s="14">
        <f>88.5+154.5+105+255+112.5+229.5+373.5+235.5+132</f>
        <v>1686</v>
      </c>
      <c r="P54" s="152"/>
    </row>
    <row r="55" spans="1:16" x14ac:dyDescent="0.25">
      <c r="A55" s="190" t="s">
        <v>255</v>
      </c>
      <c r="B55" s="23"/>
      <c r="D55" s="19"/>
      <c r="F55" s="19"/>
      <c r="H55" s="19"/>
      <c r="J55" s="19"/>
      <c r="L55" s="14">
        <f>59+103+70+170+7.5</f>
        <v>409.5</v>
      </c>
      <c r="P55" s="152"/>
    </row>
    <row r="56" spans="1:16" x14ac:dyDescent="0.25">
      <c r="A56" s="190" t="s">
        <v>122</v>
      </c>
      <c r="B56" s="23"/>
      <c r="D56" s="19"/>
      <c r="F56" s="19"/>
      <c r="H56" s="19"/>
      <c r="J56" s="19"/>
      <c r="L56" s="14">
        <f>295+515+350-850+375+765+1245+785+440</f>
        <v>3920</v>
      </c>
      <c r="P56" s="152"/>
    </row>
    <row r="57" spans="1:16" x14ac:dyDescent="0.25">
      <c r="A57" s="190"/>
      <c r="B57" s="23"/>
      <c r="D57" s="19"/>
      <c r="F57" s="19"/>
      <c r="H57" s="19"/>
      <c r="J57" s="19"/>
      <c r="L57" s="200">
        <f>SUM(L50:L56)</f>
        <v>110214</v>
      </c>
      <c r="P57" s="152"/>
    </row>
    <row r="58" spans="1:16" x14ac:dyDescent="0.25">
      <c r="A58" s="53"/>
      <c r="B58" s="23"/>
      <c r="D58" s="19"/>
      <c r="F58" s="19"/>
      <c r="H58" s="19"/>
      <c r="J58" s="19"/>
      <c r="L58" s="14"/>
      <c r="P58" s="152"/>
    </row>
    <row r="59" spans="1:16" ht="17.25" x14ac:dyDescent="0.4">
      <c r="A59" s="187" t="s">
        <v>48</v>
      </c>
      <c r="B59" s="23"/>
      <c r="D59" s="19">
        <v>0</v>
      </c>
      <c r="F59" s="19">
        <v>0</v>
      </c>
      <c r="H59" s="19">
        <v>0</v>
      </c>
      <c r="J59" s="19">
        <f>5+7+8+4+5+5</f>
        <v>34</v>
      </c>
      <c r="L59" s="14">
        <f>2221.25+3109.75+3554+1777+2337.5+2337.5</f>
        <v>15337</v>
      </c>
      <c r="P59" s="19"/>
    </row>
    <row r="60" spans="1:16" x14ac:dyDescent="0.25">
      <c r="A60" s="186" t="s">
        <v>252</v>
      </c>
      <c r="B60" s="23"/>
      <c r="D60" s="19"/>
      <c r="F60" s="19"/>
      <c r="H60" s="19"/>
      <c r="J60" s="19"/>
      <c r="L60" s="14">
        <f>16.25+22.75+26+13</f>
        <v>78</v>
      </c>
      <c r="P60" s="19"/>
    </row>
    <row r="61" spans="1:16" x14ac:dyDescent="0.25">
      <c r="A61" s="186" t="s">
        <v>253</v>
      </c>
      <c r="B61" s="23"/>
      <c r="D61" s="19"/>
      <c r="F61" s="19"/>
      <c r="H61" s="19"/>
      <c r="J61" s="19"/>
      <c r="L61" s="14">
        <f>75+105+120+60</f>
        <v>360</v>
      </c>
      <c r="P61" s="19"/>
    </row>
    <row r="62" spans="1:16" x14ac:dyDescent="0.25">
      <c r="A62" s="186" t="s">
        <v>254</v>
      </c>
      <c r="B62" s="23"/>
      <c r="D62" s="19"/>
      <c r="F62" s="19"/>
      <c r="H62" s="19"/>
      <c r="J62" s="19"/>
      <c r="L62" s="14">
        <f>0</f>
        <v>0</v>
      </c>
      <c r="P62" s="19"/>
    </row>
    <row r="63" spans="1:16" x14ac:dyDescent="0.25">
      <c r="A63" s="186" t="s">
        <v>121</v>
      </c>
      <c r="B63" s="23"/>
      <c r="D63" s="19"/>
      <c r="F63" s="19"/>
      <c r="H63" s="19"/>
      <c r="J63" s="19"/>
      <c r="L63" s="14">
        <f>37.5+52.5+60+30+37.5+37.5</f>
        <v>255</v>
      </c>
      <c r="P63" s="19"/>
    </row>
    <row r="64" spans="1:16" x14ac:dyDescent="0.25">
      <c r="A64" s="186" t="s">
        <v>255</v>
      </c>
      <c r="B64" s="23"/>
      <c r="D64" s="19"/>
      <c r="F64" s="19"/>
      <c r="H64" s="19"/>
      <c r="J64" s="19"/>
      <c r="L64" s="14">
        <f>25+35+40+20</f>
        <v>120</v>
      </c>
      <c r="P64" s="19"/>
    </row>
    <row r="65" spans="1:16" x14ac:dyDescent="0.25">
      <c r="A65" s="186" t="s">
        <v>122</v>
      </c>
      <c r="B65" s="23"/>
      <c r="D65" s="19"/>
      <c r="F65" s="19"/>
      <c r="H65" s="19"/>
      <c r="J65" s="19"/>
      <c r="L65" s="14">
        <f>125+175+200+100+125+125</f>
        <v>850</v>
      </c>
      <c r="P65" s="19"/>
    </row>
    <row r="66" spans="1:16" x14ac:dyDescent="0.25">
      <c r="A66" s="186"/>
      <c r="B66" s="23"/>
      <c r="D66" s="19"/>
      <c r="F66" s="19"/>
      <c r="H66" s="19"/>
      <c r="J66" s="19"/>
      <c r="L66" s="189">
        <f>SUM(L59:L65)</f>
        <v>17000</v>
      </c>
      <c r="P66" s="19"/>
    </row>
    <row r="67" spans="1:16" x14ac:dyDescent="0.25">
      <c r="A67" s="53"/>
      <c r="B67" s="23"/>
      <c r="D67" s="19"/>
      <c r="F67" s="19"/>
      <c r="H67" s="19"/>
      <c r="J67" s="19"/>
      <c r="L67" s="14"/>
      <c r="P67" s="19"/>
    </row>
    <row r="68" spans="1:16" ht="17.25" x14ac:dyDescent="0.4">
      <c r="A68" s="195" t="s">
        <v>49</v>
      </c>
      <c r="B68" s="23"/>
      <c r="D68" s="19">
        <f>5+2+1</f>
        <v>8</v>
      </c>
      <c r="F68" s="19">
        <f>1</f>
        <v>1</v>
      </c>
      <c r="H68" s="19">
        <v>0</v>
      </c>
      <c r="J68" s="19">
        <f>9+3+2+2+3+6</f>
        <v>25</v>
      </c>
      <c r="L68" s="14">
        <f>10839.7+1332.75+3017.44+1954.7+1402.5+3038.75</f>
        <v>21585.84</v>
      </c>
      <c r="P68" s="19"/>
    </row>
    <row r="69" spans="1:16" x14ac:dyDescent="0.25">
      <c r="A69" s="194" t="s">
        <v>252</v>
      </c>
      <c r="B69" s="23"/>
      <c r="D69" s="19"/>
      <c r="F69" s="19"/>
      <c r="H69" s="19"/>
      <c r="J69" s="19"/>
      <c r="L69" s="14">
        <f>79.3+9.75+20.8+14.3</f>
        <v>124.14999999999999</v>
      </c>
      <c r="P69" s="19"/>
    </row>
    <row r="70" spans="1:16" x14ac:dyDescent="0.25">
      <c r="A70" s="194" t="s">
        <v>253</v>
      </c>
      <c r="B70" s="23"/>
      <c r="D70" s="19"/>
      <c r="F70" s="19"/>
      <c r="H70" s="19"/>
      <c r="J70" s="19"/>
      <c r="L70" s="14">
        <f>366+45+0.96+66</f>
        <v>477.96</v>
      </c>
    </row>
    <row r="71" spans="1:16" x14ac:dyDescent="0.25">
      <c r="A71" s="194" t="s">
        <v>254</v>
      </c>
      <c r="B71" s="23"/>
      <c r="D71" s="19"/>
      <c r="F71" s="19"/>
      <c r="H71" s="19"/>
      <c r="J71" s="19"/>
      <c r="L71" s="14">
        <f>0</f>
        <v>0</v>
      </c>
    </row>
    <row r="72" spans="1:16" x14ac:dyDescent="0.25">
      <c r="A72" s="194" t="s">
        <v>121</v>
      </c>
      <c r="B72" s="23"/>
      <c r="D72" s="19"/>
      <c r="F72" s="19"/>
      <c r="H72" s="19"/>
      <c r="J72" s="19"/>
      <c r="L72" s="14">
        <f>183+22.5+0.48+33+22.5+48.75</f>
        <v>310.23</v>
      </c>
    </row>
    <row r="73" spans="1:16" x14ac:dyDescent="0.25">
      <c r="A73" s="194" t="s">
        <v>255</v>
      </c>
      <c r="B73" s="23"/>
      <c r="D73" s="19"/>
      <c r="F73" s="19"/>
      <c r="H73" s="19"/>
      <c r="J73" s="19"/>
      <c r="L73" s="14">
        <f>122+15+0.32+22</f>
        <v>159.32</v>
      </c>
    </row>
    <row r="74" spans="1:16" x14ac:dyDescent="0.25">
      <c r="A74" s="194" t="s">
        <v>122</v>
      </c>
      <c r="B74" s="23"/>
      <c r="D74" s="19"/>
      <c r="F74" s="19"/>
      <c r="H74" s="19"/>
      <c r="J74" s="19"/>
      <c r="L74" s="14">
        <f>610+75+160+110+75+162.5</f>
        <v>1192.5</v>
      </c>
    </row>
    <row r="75" spans="1:16" x14ac:dyDescent="0.25">
      <c r="A75" s="194"/>
      <c r="B75" s="23"/>
      <c r="D75" s="19"/>
      <c r="F75" s="19"/>
      <c r="H75" s="19"/>
      <c r="J75" s="19"/>
      <c r="L75" s="196">
        <f>SUM(L68:L74)</f>
        <v>23850</v>
      </c>
    </row>
    <row r="76" spans="1:16" x14ac:dyDescent="0.25">
      <c r="A76" s="53"/>
      <c r="B76" s="23"/>
      <c r="D76" s="19"/>
      <c r="F76" s="19"/>
      <c r="H76" s="19"/>
      <c r="J76" s="19"/>
      <c r="L76" s="14"/>
    </row>
    <row r="77" spans="1:16" ht="17.25" x14ac:dyDescent="0.4">
      <c r="A77" s="201" t="s">
        <v>256</v>
      </c>
      <c r="B77" s="23"/>
      <c r="D77" s="19">
        <f>1</f>
        <v>1</v>
      </c>
      <c r="F77" s="19">
        <f>1+1</f>
        <v>2</v>
      </c>
      <c r="H77" s="19">
        <v>0</v>
      </c>
      <c r="J77" s="19">
        <f>4+2+2</f>
        <v>8</v>
      </c>
      <c r="L77" s="14">
        <f>4552.86+2978.8+970</f>
        <v>8501.66</v>
      </c>
      <c r="P77" s="19"/>
    </row>
    <row r="78" spans="1:16" x14ac:dyDescent="0.25">
      <c r="A78" s="198" t="s">
        <v>252</v>
      </c>
      <c r="B78" s="23"/>
      <c r="D78" s="19"/>
      <c r="F78" s="19"/>
      <c r="H78" s="19"/>
      <c r="J78" s="19"/>
      <c r="L78" s="14">
        <f>0</f>
        <v>0</v>
      </c>
      <c r="P78" s="19"/>
    </row>
    <row r="79" spans="1:16" x14ac:dyDescent="0.25">
      <c r="A79" s="198" t="s">
        <v>253</v>
      </c>
      <c r="B79" s="23"/>
      <c r="D79" s="19"/>
      <c r="F79" s="19"/>
      <c r="H79" s="19"/>
      <c r="J79" s="19"/>
      <c r="L79" s="14">
        <f>0</f>
        <v>0</v>
      </c>
    </row>
    <row r="80" spans="1:16" x14ac:dyDescent="0.25">
      <c r="A80" s="198" t="s">
        <v>254</v>
      </c>
      <c r="B80" s="23"/>
      <c r="D80" s="19"/>
      <c r="F80" s="19"/>
      <c r="H80" s="19"/>
      <c r="J80" s="19"/>
      <c r="L80" s="14">
        <f>159+96</f>
        <v>255</v>
      </c>
    </row>
    <row r="81" spans="1:16" x14ac:dyDescent="0.25">
      <c r="A81" s="198" t="s">
        <v>121</v>
      </c>
      <c r="B81" s="23"/>
      <c r="D81" s="19"/>
      <c r="F81" s="19"/>
      <c r="H81" s="19"/>
      <c r="J81" s="19"/>
      <c r="L81" s="14">
        <f>588.14+125.2</f>
        <v>713.34</v>
      </c>
    </row>
    <row r="82" spans="1:16" x14ac:dyDescent="0.25">
      <c r="A82" s="198" t="s">
        <v>255</v>
      </c>
      <c r="B82" s="23"/>
      <c r="D82" s="19"/>
      <c r="F82" s="19"/>
      <c r="H82" s="19"/>
      <c r="J82" s="19"/>
      <c r="L82" s="14">
        <f>0</f>
        <v>0</v>
      </c>
    </row>
    <row r="83" spans="1:16" x14ac:dyDescent="0.25">
      <c r="A83" s="198" t="s">
        <v>122</v>
      </c>
      <c r="B83" s="23"/>
      <c r="D83" s="19"/>
      <c r="F83" s="19"/>
      <c r="H83" s="19"/>
      <c r="J83" s="19"/>
      <c r="L83" s="14">
        <f>159+96+30</f>
        <v>285</v>
      </c>
    </row>
    <row r="84" spans="1:16" x14ac:dyDescent="0.25">
      <c r="A84" s="198"/>
      <c r="B84" s="23"/>
      <c r="D84" s="19"/>
      <c r="F84" s="19"/>
      <c r="H84" s="19"/>
      <c r="J84" s="19"/>
      <c r="L84" s="202">
        <f>SUM(L77:L83)</f>
        <v>9755</v>
      </c>
    </row>
    <row r="85" spans="1:16" x14ac:dyDescent="0.25">
      <c r="A85" s="53"/>
      <c r="B85" s="23"/>
      <c r="D85" s="19"/>
      <c r="F85" s="19"/>
      <c r="H85" s="19"/>
      <c r="J85" s="19"/>
      <c r="L85" s="14"/>
    </row>
    <row r="86" spans="1:16" ht="17.25" x14ac:dyDescent="0.4">
      <c r="A86" s="204" t="s">
        <v>46</v>
      </c>
      <c r="B86" s="23"/>
      <c r="D86" s="19">
        <f>1</f>
        <v>1</v>
      </c>
      <c r="F86" s="19">
        <f>1</f>
        <v>1</v>
      </c>
      <c r="H86" s="19">
        <v>0</v>
      </c>
      <c r="J86" s="19">
        <f>2</f>
        <v>2</v>
      </c>
      <c r="L86" s="14">
        <f>3820.55</f>
        <v>3820.55</v>
      </c>
      <c r="P86" s="19"/>
    </row>
    <row r="87" spans="1:16" x14ac:dyDescent="0.25">
      <c r="A87" s="205" t="s">
        <v>252</v>
      </c>
      <c r="B87" s="23"/>
      <c r="D87" s="19"/>
      <c r="F87" s="19"/>
      <c r="H87" s="19"/>
      <c r="J87" s="19"/>
      <c r="L87" s="14">
        <f>27.95</f>
        <v>27.95</v>
      </c>
      <c r="P87" s="19"/>
    </row>
    <row r="88" spans="1:16" x14ac:dyDescent="0.25">
      <c r="A88" s="205" t="s">
        <v>253</v>
      </c>
      <c r="B88" s="23"/>
      <c r="D88" s="19"/>
      <c r="F88" s="19"/>
      <c r="H88" s="19"/>
      <c r="J88" s="19"/>
      <c r="L88" s="14">
        <f>129</f>
        <v>129</v>
      </c>
    </row>
    <row r="89" spans="1:16" x14ac:dyDescent="0.25">
      <c r="A89" s="205" t="s">
        <v>254</v>
      </c>
      <c r="B89" s="23"/>
      <c r="D89" s="19"/>
      <c r="F89" s="19"/>
      <c r="H89" s="19"/>
      <c r="J89" s="19"/>
      <c r="L89" s="14">
        <v>0</v>
      </c>
    </row>
    <row r="90" spans="1:16" x14ac:dyDescent="0.25">
      <c r="A90" s="205" t="s">
        <v>121</v>
      </c>
      <c r="B90" s="23"/>
      <c r="D90" s="19"/>
      <c r="F90" s="19"/>
      <c r="H90" s="19"/>
      <c r="J90" s="19"/>
      <c r="L90" s="14">
        <f>64.5</f>
        <v>64.5</v>
      </c>
    </row>
    <row r="91" spans="1:16" x14ac:dyDescent="0.25">
      <c r="A91" s="205" t="s">
        <v>255</v>
      </c>
      <c r="B91" s="23"/>
      <c r="D91" s="19"/>
      <c r="F91" s="19"/>
      <c r="H91" s="19"/>
      <c r="J91" s="19"/>
      <c r="L91" s="14">
        <f>43</f>
        <v>43</v>
      </c>
    </row>
    <row r="92" spans="1:16" x14ac:dyDescent="0.25">
      <c r="A92" s="205" t="s">
        <v>122</v>
      </c>
      <c r="B92" s="23"/>
      <c r="D92" s="19"/>
      <c r="F92" s="19"/>
      <c r="H92" s="19"/>
      <c r="J92" s="19"/>
      <c r="L92" s="14">
        <f>215</f>
        <v>215</v>
      </c>
    </row>
    <row r="93" spans="1:16" x14ac:dyDescent="0.25">
      <c r="A93" s="205"/>
      <c r="B93" s="23"/>
      <c r="D93" s="19"/>
      <c r="F93" s="19"/>
      <c r="H93" s="19"/>
      <c r="J93" s="19"/>
      <c r="L93" s="206">
        <f>SUM(L86:L92)</f>
        <v>4300</v>
      </c>
    </row>
    <row r="94" spans="1:16" x14ac:dyDescent="0.25">
      <c r="A94" s="53"/>
      <c r="B94" s="23"/>
      <c r="D94" s="19"/>
      <c r="F94" s="19"/>
      <c r="H94" s="19"/>
      <c r="J94" s="19"/>
      <c r="L94" s="14"/>
    </row>
    <row r="95" spans="1:16" ht="17.25" x14ac:dyDescent="0.4">
      <c r="A95" s="203" t="s">
        <v>257</v>
      </c>
      <c r="B95" s="23"/>
      <c r="D95" s="19">
        <f>1</f>
        <v>1</v>
      </c>
      <c r="F95" s="19">
        <f>1</f>
        <v>1</v>
      </c>
      <c r="H95" s="19">
        <v>0</v>
      </c>
      <c r="J95" s="19">
        <f>7</f>
        <v>7</v>
      </c>
      <c r="L95" s="14">
        <f>6460</f>
        <v>6460</v>
      </c>
      <c r="P95" s="19"/>
    </row>
    <row r="96" spans="1:16" x14ac:dyDescent="0.25">
      <c r="A96" s="197" t="s">
        <v>252</v>
      </c>
      <c r="B96" s="23"/>
      <c r="D96" s="19"/>
      <c r="F96" s="19"/>
      <c r="H96" s="19"/>
      <c r="J96" s="19"/>
      <c r="L96" s="14">
        <v>0</v>
      </c>
      <c r="P96" s="19"/>
    </row>
    <row r="97" spans="1:16" x14ac:dyDescent="0.25">
      <c r="A97" s="197" t="s">
        <v>253</v>
      </c>
      <c r="B97" s="23"/>
      <c r="D97" s="19"/>
      <c r="F97" s="19"/>
      <c r="H97" s="19"/>
      <c r="J97" s="19"/>
      <c r="L97" s="14">
        <v>0</v>
      </c>
    </row>
    <row r="98" spans="1:16" x14ac:dyDescent="0.25">
      <c r="A98" s="197" t="s">
        <v>254</v>
      </c>
      <c r="B98" s="23"/>
      <c r="D98" s="19"/>
      <c r="F98" s="19"/>
      <c r="H98" s="19"/>
      <c r="J98" s="19"/>
      <c r="L98" s="14">
        <v>0</v>
      </c>
    </row>
    <row r="99" spans="1:16" x14ac:dyDescent="0.25">
      <c r="A99" s="197" t="s">
        <v>121</v>
      </c>
      <c r="B99" s="23"/>
      <c r="D99" s="19"/>
      <c r="F99" s="19"/>
      <c r="H99" s="19"/>
      <c r="J99" s="19"/>
      <c r="L99" s="14">
        <v>0</v>
      </c>
    </row>
    <row r="100" spans="1:16" x14ac:dyDescent="0.25">
      <c r="A100" s="197" t="s">
        <v>255</v>
      </c>
      <c r="B100" s="23"/>
      <c r="D100" s="19"/>
      <c r="F100" s="19"/>
      <c r="H100" s="19"/>
      <c r="J100" s="19"/>
      <c r="L100" s="14">
        <f>0</f>
        <v>0</v>
      </c>
    </row>
    <row r="101" spans="1:16" x14ac:dyDescent="0.25">
      <c r="A101" s="197" t="s">
        <v>122</v>
      </c>
      <c r="B101" s="23"/>
      <c r="D101" s="19"/>
      <c r="F101" s="19"/>
      <c r="H101" s="19"/>
      <c r="J101" s="19"/>
      <c r="L101" s="14">
        <f>340</f>
        <v>340</v>
      </c>
    </row>
    <row r="102" spans="1:16" x14ac:dyDescent="0.25">
      <c r="A102" s="197"/>
      <c r="B102" s="23"/>
      <c r="D102" s="19"/>
      <c r="F102" s="19"/>
      <c r="H102" s="19"/>
      <c r="J102" s="19"/>
      <c r="L102" s="207">
        <f>SUM(L95:L101)</f>
        <v>6800</v>
      </c>
    </row>
    <row r="103" spans="1:16" x14ac:dyDescent="0.25">
      <c r="A103" s="53"/>
      <c r="B103" s="23"/>
      <c r="D103" s="19"/>
      <c r="F103" s="19"/>
      <c r="H103" s="19"/>
      <c r="J103" s="19"/>
      <c r="L103" s="14"/>
    </row>
    <row r="104" spans="1:16" x14ac:dyDescent="0.25">
      <c r="B104" s="4"/>
      <c r="D104" s="24"/>
      <c r="E104" s="25"/>
      <c r="F104" s="24"/>
      <c r="G104" s="25"/>
      <c r="H104" s="24"/>
      <c r="I104" s="25"/>
      <c r="J104" s="24"/>
    </row>
    <row r="105" spans="1:16" x14ac:dyDescent="0.25">
      <c r="A105" s="7"/>
      <c r="B105" s="3" t="s">
        <v>32</v>
      </c>
      <c r="C105" s="4"/>
      <c r="D105" s="27">
        <f>SUM(D32:D103)</f>
        <v>198</v>
      </c>
      <c r="E105" s="4"/>
      <c r="F105" s="27">
        <f>SUM(F32:F103)</f>
        <v>71</v>
      </c>
      <c r="G105" s="4"/>
      <c r="H105" s="27">
        <f>SUM(H32:H103)</f>
        <v>0</v>
      </c>
      <c r="I105" s="4"/>
      <c r="J105" s="27">
        <f>SUM(J32:J103)</f>
        <v>255</v>
      </c>
      <c r="L105" s="7">
        <f>SUM(L32:L97)</f>
        <v>920497.99999999988</v>
      </c>
      <c r="P105" s="153"/>
    </row>
  </sheetData>
  <mergeCells count="3">
    <mergeCell ref="F1:X1"/>
    <mergeCell ref="L2:T2"/>
    <mergeCell ref="L3:T3"/>
  </mergeCells>
  <pageMargins left="0" right="0" top="0" bottom="0" header="0.31496062992125984" footer="0.31496062992125984"/>
  <pageSetup paperSize="9" scale="6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H52"/>
  <sheetViews>
    <sheetView zoomScale="91" zoomScaleNormal="91" workbookViewId="0">
      <selection activeCell="E19" sqref="E19"/>
    </sheetView>
  </sheetViews>
  <sheetFormatPr defaultRowHeight="15" x14ac:dyDescent="0.25"/>
  <cols>
    <col min="1" max="1" width="14.85546875" bestFit="1" customWidth="1"/>
    <col min="2" max="2" width="7.7109375" bestFit="1" customWidth="1"/>
    <col min="3" max="3" width="0.7109375" customWidth="1"/>
    <col min="4" max="4" width="14.85546875" bestFit="1" customWidth="1"/>
    <col min="5" max="5" width="0.7109375" customWidth="1"/>
    <col min="6" max="6" width="14.85546875" bestFit="1" customWidth="1"/>
    <col min="7" max="7" width="0.85546875" customWidth="1"/>
    <col min="9" max="9" width="0.85546875" customWidth="1"/>
    <col min="10" max="10" width="14.85546875" bestFit="1" customWidth="1"/>
    <col min="11" max="11" width="0.7109375" customWidth="1"/>
    <col min="12" max="12" width="13.7109375" bestFit="1" customWidth="1"/>
    <col min="13" max="13" width="0.7109375" customWidth="1"/>
    <col min="14" max="14" width="13.7109375" bestFit="1" customWidth="1"/>
    <col min="15" max="15" width="0.7109375" customWidth="1"/>
    <col min="17" max="17" width="0.85546875" customWidth="1"/>
    <col min="18" max="18" width="12.5703125" bestFit="1" customWidth="1"/>
    <col min="19" max="19" width="0.85546875" customWidth="1"/>
    <col min="20" max="20" width="13.7109375" bestFit="1" customWidth="1"/>
    <col min="21" max="21" width="0.85546875" customWidth="1"/>
    <col min="23" max="23" width="0.7109375" customWidth="1"/>
    <col min="24" max="24" width="13.7109375" bestFit="1" customWidth="1"/>
    <col min="25" max="25" width="0.7109375" customWidth="1"/>
    <col min="26" max="26" width="13.7109375" bestFit="1" customWidth="1"/>
    <col min="27" max="27" width="0.5703125" customWidth="1"/>
    <col min="29" max="29" width="0.5703125" customWidth="1"/>
    <col min="30" max="30" width="10.28515625" bestFit="1" customWidth="1"/>
    <col min="31" max="31" width="0.5703125" customWidth="1"/>
    <col min="32" max="32" width="11.42578125" bestFit="1" customWidth="1"/>
    <col min="33" max="33" width="0.7109375" customWidth="1"/>
    <col min="34" max="34" width="14.85546875" bestFit="1" customWidth="1"/>
  </cols>
  <sheetData>
    <row r="2" spans="1:34" ht="31.5" x14ac:dyDescent="0.5">
      <c r="F2" s="305" t="s">
        <v>35</v>
      </c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</row>
    <row r="3" spans="1:34" ht="28.5" x14ac:dyDescent="0.45">
      <c r="L3" s="309" t="s">
        <v>33</v>
      </c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</row>
    <row r="4" spans="1:34" ht="28.5" x14ac:dyDescent="0.45">
      <c r="L4" s="39"/>
      <c r="M4" s="39"/>
      <c r="N4" s="310" t="s">
        <v>34</v>
      </c>
      <c r="O4" s="310"/>
      <c r="P4" s="310"/>
      <c r="Q4" s="310"/>
      <c r="R4" s="310"/>
      <c r="S4" s="310"/>
      <c r="T4" s="310"/>
      <c r="U4" s="310"/>
      <c r="V4" s="310"/>
      <c r="W4" s="39"/>
      <c r="X4" s="39"/>
    </row>
    <row r="5" spans="1:34" s="4" customFormat="1" ht="23.25" x14ac:dyDescent="0.35">
      <c r="H5" s="3" t="s">
        <v>5</v>
      </c>
      <c r="J5" s="3" t="s">
        <v>43</v>
      </c>
      <c r="N5" s="16">
        <v>6</v>
      </c>
      <c r="O5" s="17"/>
      <c r="P5" s="17"/>
      <c r="Q5" s="17"/>
      <c r="R5" s="16">
        <v>3</v>
      </c>
      <c r="S5" s="17"/>
      <c r="T5" s="17"/>
      <c r="U5" s="17"/>
      <c r="V5" s="17"/>
      <c r="W5" s="18"/>
      <c r="X5" s="18"/>
      <c r="Y5" s="18"/>
      <c r="Z5" s="16">
        <v>3</v>
      </c>
      <c r="AB5" s="4" t="s">
        <v>16</v>
      </c>
      <c r="AD5" s="4" t="s">
        <v>18</v>
      </c>
    </row>
    <row r="6" spans="1:34" s="3" customFormat="1" x14ac:dyDescent="0.25">
      <c r="D6" s="3" t="s">
        <v>41</v>
      </c>
      <c r="F6" s="3" t="s">
        <v>42</v>
      </c>
      <c r="H6" s="3" t="s">
        <v>6</v>
      </c>
      <c r="J6" s="3" t="s">
        <v>8</v>
      </c>
      <c r="L6" s="3" t="s">
        <v>10</v>
      </c>
      <c r="N6" s="3" t="s">
        <v>12</v>
      </c>
      <c r="P6" s="3" t="s">
        <v>14</v>
      </c>
      <c r="R6" s="3" t="s">
        <v>0</v>
      </c>
      <c r="T6" s="3" t="s">
        <v>1</v>
      </c>
      <c r="V6" s="3" t="s">
        <v>2</v>
      </c>
      <c r="X6" s="3" t="s">
        <v>3</v>
      </c>
      <c r="Z6" s="3" t="s">
        <v>15</v>
      </c>
      <c r="AB6" s="3" t="s">
        <v>17</v>
      </c>
      <c r="AD6" s="3" t="s">
        <v>19</v>
      </c>
      <c r="AF6" s="3" t="s">
        <v>21</v>
      </c>
    </row>
    <row r="7" spans="1:34" s="3" customFormat="1" x14ac:dyDescent="0.25">
      <c r="D7" s="3" t="s">
        <v>40</v>
      </c>
      <c r="F7" s="3" t="s">
        <v>6</v>
      </c>
      <c r="H7" s="3" t="s">
        <v>7</v>
      </c>
      <c r="J7" s="3" t="s">
        <v>9</v>
      </c>
      <c r="L7" s="3" t="s">
        <v>11</v>
      </c>
      <c r="N7" s="3" t="s">
        <v>13</v>
      </c>
      <c r="AB7" s="3" t="s">
        <v>4</v>
      </c>
      <c r="AD7" s="3" t="s">
        <v>20</v>
      </c>
    </row>
    <row r="8" spans="1:34" s="2" customFormat="1" x14ac:dyDescent="0.25">
      <c r="B8" s="3" t="s">
        <v>38</v>
      </c>
      <c r="D8" s="1">
        <v>221100</v>
      </c>
      <c r="E8" s="1"/>
      <c r="F8" s="1">
        <v>176000</v>
      </c>
      <c r="G8" s="1"/>
      <c r="H8" s="1">
        <v>0</v>
      </c>
      <c r="I8" s="1"/>
      <c r="J8" s="1">
        <v>167000</v>
      </c>
      <c r="K8" s="1"/>
      <c r="L8" s="1">
        <v>90000</v>
      </c>
      <c r="M8" s="1"/>
      <c r="N8" s="1">
        <v>18000</v>
      </c>
      <c r="O8" s="1"/>
      <c r="P8" s="1">
        <v>0</v>
      </c>
      <c r="Q8" s="1"/>
      <c r="R8" s="1">
        <v>3200</v>
      </c>
      <c r="S8" s="1"/>
      <c r="T8" s="1">
        <v>49500</v>
      </c>
      <c r="U8" s="1"/>
      <c r="V8" s="1">
        <v>0</v>
      </c>
      <c r="W8"/>
      <c r="X8" s="1">
        <v>54000</v>
      </c>
      <c r="Y8"/>
      <c r="Z8" s="1">
        <v>64200</v>
      </c>
      <c r="AA8"/>
      <c r="AB8" s="1">
        <v>0</v>
      </c>
      <c r="AC8"/>
      <c r="AD8" s="1">
        <v>0</v>
      </c>
      <c r="AE8"/>
      <c r="AF8" s="1">
        <v>0</v>
      </c>
      <c r="AH8" s="10">
        <f>SUM(D8:AF8)</f>
        <v>843000</v>
      </c>
    </row>
    <row r="9" spans="1:34" x14ac:dyDescent="0.25">
      <c r="B9" s="3" t="s">
        <v>39</v>
      </c>
      <c r="D9" s="1">
        <f>SUM(D24)</f>
        <v>0</v>
      </c>
      <c r="E9" s="1"/>
      <c r="F9" s="1">
        <v>0</v>
      </c>
      <c r="G9" s="1"/>
      <c r="H9" s="1">
        <v>0</v>
      </c>
      <c r="I9" s="1"/>
      <c r="J9" s="1">
        <v>0</v>
      </c>
      <c r="K9" s="1"/>
      <c r="L9" s="1">
        <v>0</v>
      </c>
      <c r="M9" s="1"/>
      <c r="N9" s="1">
        <v>0</v>
      </c>
      <c r="O9" s="1"/>
      <c r="P9" s="1">
        <v>0</v>
      </c>
      <c r="Q9" s="1"/>
      <c r="R9" s="1">
        <v>0</v>
      </c>
      <c r="S9" s="1"/>
      <c r="T9" s="1">
        <v>0</v>
      </c>
      <c r="U9" s="1"/>
      <c r="V9" s="1">
        <v>0</v>
      </c>
      <c r="X9" s="1">
        <v>0</v>
      </c>
      <c r="Z9" s="1">
        <v>0</v>
      </c>
      <c r="AB9" s="1">
        <v>0</v>
      </c>
      <c r="AD9" s="1">
        <v>0</v>
      </c>
      <c r="AF9" s="1">
        <v>0</v>
      </c>
      <c r="AH9" s="10">
        <f>SUM(D9:AF9)</f>
        <v>0</v>
      </c>
    </row>
    <row r="10" spans="1:34" s="8" customFormat="1" ht="12.75" customHeight="1" x14ac:dyDescent="0.25">
      <c r="D10" s="12">
        <f>SUM(D8-D9)</f>
        <v>221100</v>
      </c>
      <c r="E10" s="13"/>
      <c r="F10" s="12">
        <f>SUM(F8-F9)</f>
        <v>176000</v>
      </c>
      <c r="G10" s="13"/>
      <c r="H10" s="12">
        <f>SUM(H8-H9)</f>
        <v>0</v>
      </c>
      <c r="I10" s="13"/>
      <c r="J10" s="12">
        <f>SUM(J8-J9)</f>
        <v>167000</v>
      </c>
      <c r="K10" s="13"/>
      <c r="L10" s="12">
        <f>SUM(L8-L9)</f>
        <v>90000</v>
      </c>
      <c r="M10" s="13"/>
      <c r="N10" s="12">
        <f>SUM(N8-N9)</f>
        <v>18000</v>
      </c>
      <c r="O10" s="13"/>
      <c r="P10" s="12">
        <f>SUM(P8-P9)</f>
        <v>0</v>
      </c>
      <c r="Q10" s="13"/>
      <c r="R10" s="12">
        <f>SUM(R8-R9)</f>
        <v>3200</v>
      </c>
      <c r="S10" s="13"/>
      <c r="T10" s="12">
        <f>SUM(T8-T9)</f>
        <v>49500</v>
      </c>
      <c r="U10" s="13"/>
      <c r="V10" s="12">
        <f>SUM(V8-V9)</f>
        <v>0</v>
      </c>
      <c r="W10" s="13"/>
      <c r="X10" s="12">
        <f>SUM(X8-X9)</f>
        <v>54000</v>
      </c>
      <c r="Y10" s="13"/>
      <c r="Z10" s="12">
        <f>SUM(Z8-Z9)</f>
        <v>64200</v>
      </c>
      <c r="AA10" s="13"/>
      <c r="AB10" s="12">
        <f>SUM(AB8-AB9)</f>
        <v>0</v>
      </c>
      <c r="AC10" s="13"/>
      <c r="AD10" s="12">
        <f>SUM(AD8-AD9)</f>
        <v>0</v>
      </c>
      <c r="AE10" s="13"/>
      <c r="AF10" s="12">
        <f>SUM(AF8-AF9)</f>
        <v>0</v>
      </c>
      <c r="AH10" s="10">
        <f>SUM(D10:AF10)</f>
        <v>843000</v>
      </c>
    </row>
    <row r="11" spans="1:34" x14ac:dyDescent="0.25">
      <c r="A11" s="1">
        <v>0</v>
      </c>
      <c r="B11" s="9" t="s">
        <v>22</v>
      </c>
      <c r="D11" s="1">
        <v>0</v>
      </c>
      <c r="F11" s="1">
        <v>0</v>
      </c>
      <c r="H11" s="1">
        <v>0</v>
      </c>
      <c r="J11" s="1">
        <v>0</v>
      </c>
      <c r="L11" s="1">
        <v>0</v>
      </c>
      <c r="N11" s="1">
        <v>0</v>
      </c>
      <c r="P11" s="1">
        <v>0</v>
      </c>
      <c r="R11" s="1">
        <v>0</v>
      </c>
      <c r="T11" s="1">
        <v>0</v>
      </c>
      <c r="V11" s="1">
        <v>0</v>
      </c>
      <c r="X11" s="1">
        <v>0</v>
      </c>
      <c r="Z11" s="1">
        <v>0</v>
      </c>
      <c r="AB11" s="1">
        <v>0</v>
      </c>
      <c r="AD11" s="1">
        <v>0</v>
      </c>
      <c r="AF11" s="1">
        <v>0</v>
      </c>
      <c r="AH11" s="11">
        <f>SUM(D11:AF11)</f>
        <v>0</v>
      </c>
    </row>
    <row r="12" spans="1:34" x14ac:dyDescent="0.25">
      <c r="A12" s="1">
        <v>70250</v>
      </c>
      <c r="B12" s="9" t="s">
        <v>23</v>
      </c>
      <c r="D12" s="1">
        <v>0</v>
      </c>
      <c r="F12" s="1">
        <v>0</v>
      </c>
      <c r="H12" s="1">
        <v>0</v>
      </c>
      <c r="J12" s="1">
        <v>0</v>
      </c>
      <c r="L12" s="1">
        <v>0</v>
      </c>
      <c r="N12" s="1">
        <v>0</v>
      </c>
      <c r="P12" s="1">
        <v>0</v>
      </c>
      <c r="R12" s="1">
        <v>0</v>
      </c>
      <c r="T12" s="1">
        <v>0</v>
      </c>
      <c r="V12" s="1">
        <v>0</v>
      </c>
      <c r="X12" s="1">
        <v>0</v>
      </c>
      <c r="Z12" s="1">
        <v>0</v>
      </c>
      <c r="AB12" s="1">
        <v>0</v>
      </c>
      <c r="AD12" s="1">
        <v>0</v>
      </c>
      <c r="AF12" s="1">
        <v>0</v>
      </c>
      <c r="AH12" s="11">
        <f t="shared" ref="AH12:AH22" si="0">SUM(D12:AF12)</f>
        <v>0</v>
      </c>
    </row>
    <row r="13" spans="1:34" x14ac:dyDescent="0.25">
      <c r="A13" s="1">
        <v>70250</v>
      </c>
      <c r="B13" s="9" t="s">
        <v>24</v>
      </c>
      <c r="D13" s="1">
        <v>0</v>
      </c>
      <c r="F13" s="1">
        <v>0</v>
      </c>
      <c r="H13" s="1">
        <v>0</v>
      </c>
      <c r="J13" s="1">
        <v>0</v>
      </c>
      <c r="L13" s="1">
        <v>0</v>
      </c>
      <c r="N13" s="1">
        <v>0</v>
      </c>
      <c r="P13" s="1">
        <v>0</v>
      </c>
      <c r="R13" s="1">
        <v>0</v>
      </c>
      <c r="T13" s="1">
        <v>0</v>
      </c>
      <c r="V13" s="1">
        <v>0</v>
      </c>
      <c r="X13" s="1">
        <v>0</v>
      </c>
      <c r="Z13" s="1">
        <v>0</v>
      </c>
      <c r="AB13" s="1">
        <v>0</v>
      </c>
      <c r="AD13" s="1">
        <v>0</v>
      </c>
      <c r="AF13" s="1">
        <v>0</v>
      </c>
      <c r="AH13" s="11">
        <f t="shared" si="0"/>
        <v>0</v>
      </c>
    </row>
    <row r="14" spans="1:34" x14ac:dyDescent="0.25">
      <c r="A14" s="1">
        <v>70250</v>
      </c>
      <c r="B14" s="9" t="s">
        <v>25</v>
      </c>
      <c r="D14" s="1">
        <v>0</v>
      </c>
      <c r="F14" s="1">
        <v>0</v>
      </c>
      <c r="H14" s="1">
        <v>0</v>
      </c>
      <c r="J14" s="1">
        <v>0</v>
      </c>
      <c r="L14" s="1">
        <v>0</v>
      </c>
      <c r="N14" s="1">
        <v>0</v>
      </c>
      <c r="P14" s="1">
        <v>0</v>
      </c>
      <c r="R14" s="1">
        <v>0</v>
      </c>
      <c r="T14" s="1">
        <v>0</v>
      </c>
      <c r="V14" s="1">
        <v>0</v>
      </c>
      <c r="X14" s="1">
        <v>0</v>
      </c>
      <c r="Z14" s="1">
        <v>0</v>
      </c>
      <c r="AB14" s="1">
        <v>0</v>
      </c>
      <c r="AD14" s="1">
        <v>0</v>
      </c>
      <c r="AF14" s="1">
        <v>0</v>
      </c>
      <c r="AH14" s="11">
        <f t="shared" si="0"/>
        <v>0</v>
      </c>
    </row>
    <row r="15" spans="1:34" x14ac:dyDescent="0.25">
      <c r="A15" s="1">
        <v>70250</v>
      </c>
      <c r="B15" s="9" t="s">
        <v>26</v>
      </c>
      <c r="D15" s="1">
        <v>0</v>
      </c>
      <c r="F15" s="1">
        <v>0</v>
      </c>
      <c r="H15" s="1">
        <v>0</v>
      </c>
      <c r="J15" s="1">
        <v>0</v>
      </c>
      <c r="L15" s="1">
        <v>0</v>
      </c>
      <c r="N15" s="1">
        <v>0</v>
      </c>
      <c r="P15" s="1">
        <v>0</v>
      </c>
      <c r="R15" s="1">
        <v>0</v>
      </c>
      <c r="T15" s="1">
        <v>0</v>
      </c>
      <c r="V15" s="1">
        <v>0</v>
      </c>
      <c r="X15" s="1">
        <v>0</v>
      </c>
      <c r="Z15" s="1">
        <v>0</v>
      </c>
      <c r="AB15" s="1">
        <v>0</v>
      </c>
      <c r="AD15" s="1">
        <v>0</v>
      </c>
      <c r="AF15" s="1">
        <v>0</v>
      </c>
      <c r="AH15" s="11">
        <f t="shared" si="0"/>
        <v>0</v>
      </c>
    </row>
    <row r="16" spans="1:34" x14ac:dyDescent="0.25">
      <c r="A16" s="1">
        <v>70250</v>
      </c>
      <c r="B16" s="9" t="s">
        <v>27</v>
      </c>
      <c r="D16" s="1">
        <v>0</v>
      </c>
      <c r="F16" s="1">
        <v>0</v>
      </c>
      <c r="H16" s="1">
        <v>0</v>
      </c>
      <c r="J16" s="1">
        <v>0</v>
      </c>
      <c r="L16" s="1">
        <v>0</v>
      </c>
      <c r="N16" s="1">
        <v>0</v>
      </c>
      <c r="P16" s="1">
        <v>0</v>
      </c>
      <c r="R16" s="1">
        <v>0</v>
      </c>
      <c r="T16" s="1">
        <v>0</v>
      </c>
      <c r="V16" s="1">
        <v>0</v>
      </c>
      <c r="X16" s="1">
        <v>0</v>
      </c>
      <c r="Z16" s="1">
        <v>0</v>
      </c>
      <c r="AB16" s="1">
        <v>0</v>
      </c>
      <c r="AD16" s="1">
        <v>0</v>
      </c>
      <c r="AF16" s="1">
        <v>0</v>
      </c>
      <c r="AH16" s="11">
        <f t="shared" si="0"/>
        <v>0</v>
      </c>
    </row>
    <row r="17" spans="1:34" x14ac:dyDescent="0.25">
      <c r="A17" s="1">
        <v>70250</v>
      </c>
      <c r="B17" s="9" t="s">
        <v>28</v>
      </c>
      <c r="D17" s="1">
        <v>0</v>
      </c>
      <c r="F17" s="1">
        <v>0</v>
      </c>
      <c r="H17" s="1">
        <v>0</v>
      </c>
      <c r="J17" s="1">
        <v>0</v>
      </c>
      <c r="L17" s="1">
        <v>0</v>
      </c>
      <c r="N17" s="1">
        <v>0</v>
      </c>
      <c r="P17" s="1">
        <v>0</v>
      </c>
      <c r="R17" s="1">
        <v>0</v>
      </c>
      <c r="T17" s="1">
        <v>0</v>
      </c>
      <c r="V17" s="1">
        <v>0</v>
      </c>
      <c r="X17" s="1">
        <v>0</v>
      </c>
      <c r="Z17" s="1">
        <v>0</v>
      </c>
      <c r="AB17" s="1">
        <v>0</v>
      </c>
      <c r="AD17" s="1">
        <v>0</v>
      </c>
      <c r="AF17" s="1">
        <v>0</v>
      </c>
      <c r="AH17" s="11">
        <f t="shared" si="0"/>
        <v>0</v>
      </c>
    </row>
    <row r="18" spans="1:34" x14ac:dyDescent="0.25">
      <c r="A18" s="1">
        <v>70250</v>
      </c>
      <c r="B18" s="9" t="s">
        <v>29</v>
      </c>
      <c r="D18" s="1">
        <v>0</v>
      </c>
      <c r="F18" s="1">
        <v>0</v>
      </c>
      <c r="H18" s="1">
        <v>0</v>
      </c>
      <c r="J18" s="1">
        <v>0</v>
      </c>
      <c r="L18" s="1">
        <v>0</v>
      </c>
      <c r="N18" s="1">
        <v>0</v>
      </c>
      <c r="P18" s="1">
        <v>0</v>
      </c>
      <c r="R18" s="1">
        <v>0</v>
      </c>
      <c r="T18" s="1">
        <v>0</v>
      </c>
      <c r="V18" s="1">
        <v>0</v>
      </c>
      <c r="X18" s="1">
        <v>0</v>
      </c>
      <c r="Z18" s="1">
        <v>0</v>
      </c>
      <c r="AB18" s="1">
        <v>0</v>
      </c>
      <c r="AD18" s="1">
        <v>0</v>
      </c>
      <c r="AF18" s="1">
        <v>0</v>
      </c>
      <c r="AH18" s="11">
        <f t="shared" si="0"/>
        <v>0</v>
      </c>
    </row>
    <row r="19" spans="1:34" x14ac:dyDescent="0.25">
      <c r="A19" s="1">
        <v>70250</v>
      </c>
      <c r="B19" s="9" t="s">
        <v>30</v>
      </c>
      <c r="D19" s="1">
        <v>0</v>
      </c>
      <c r="F19" s="1">
        <v>0</v>
      </c>
      <c r="H19" s="1">
        <v>0</v>
      </c>
      <c r="J19" s="1">
        <v>0</v>
      </c>
      <c r="L19" s="1">
        <v>0</v>
      </c>
      <c r="N19" s="1">
        <v>0</v>
      </c>
      <c r="P19" s="1">
        <v>0</v>
      </c>
      <c r="R19" s="1">
        <v>0</v>
      </c>
      <c r="T19" s="1">
        <v>0</v>
      </c>
      <c r="V19" s="1">
        <v>0</v>
      </c>
      <c r="X19" s="1">
        <v>0</v>
      </c>
      <c r="Z19" s="1">
        <v>0</v>
      </c>
      <c r="AB19" s="1">
        <v>0</v>
      </c>
      <c r="AD19" s="1">
        <v>0</v>
      </c>
      <c r="AF19" s="1">
        <v>0</v>
      </c>
      <c r="AH19" s="11">
        <f t="shared" si="0"/>
        <v>0</v>
      </c>
    </row>
    <row r="20" spans="1:34" x14ac:dyDescent="0.25">
      <c r="A20" s="1">
        <v>70250</v>
      </c>
      <c r="B20" s="9" t="s">
        <v>31</v>
      </c>
      <c r="D20" s="1">
        <v>0</v>
      </c>
      <c r="F20" s="1">
        <v>0</v>
      </c>
      <c r="H20" s="1">
        <v>0</v>
      </c>
      <c r="J20" s="1">
        <v>0</v>
      </c>
      <c r="L20" s="1">
        <v>0</v>
      </c>
      <c r="N20" s="1">
        <v>0</v>
      </c>
      <c r="P20" s="1">
        <v>0</v>
      </c>
      <c r="R20" s="1">
        <v>0</v>
      </c>
      <c r="T20" s="1">
        <v>0</v>
      </c>
      <c r="V20" s="1">
        <v>0</v>
      </c>
      <c r="X20" s="1">
        <v>0</v>
      </c>
      <c r="Z20" s="1">
        <v>0</v>
      </c>
      <c r="AB20" s="1">
        <v>0</v>
      </c>
      <c r="AD20" s="1">
        <v>0</v>
      </c>
      <c r="AF20" s="1">
        <v>0</v>
      </c>
      <c r="AH20" s="11">
        <f t="shared" si="0"/>
        <v>0</v>
      </c>
    </row>
    <row r="21" spans="1:34" x14ac:dyDescent="0.25">
      <c r="A21" s="1">
        <v>70250</v>
      </c>
      <c r="B21" s="9" t="s">
        <v>36</v>
      </c>
      <c r="D21" s="1">
        <v>0</v>
      </c>
      <c r="F21" s="1">
        <v>0</v>
      </c>
      <c r="H21" s="1">
        <v>0</v>
      </c>
      <c r="J21" s="1">
        <v>0</v>
      </c>
      <c r="L21" s="1">
        <v>0</v>
      </c>
      <c r="N21" s="1">
        <v>0</v>
      </c>
      <c r="P21" s="1">
        <v>0</v>
      </c>
      <c r="R21" s="1">
        <v>0</v>
      </c>
      <c r="T21" s="1">
        <v>0</v>
      </c>
      <c r="V21" s="1">
        <v>0</v>
      </c>
      <c r="X21" s="1">
        <v>0</v>
      </c>
      <c r="Z21" s="1">
        <v>0</v>
      </c>
      <c r="AB21" s="1">
        <v>0</v>
      </c>
      <c r="AD21" s="1">
        <v>0</v>
      </c>
      <c r="AF21" s="1">
        <v>0</v>
      </c>
      <c r="AH21" s="11">
        <f t="shared" si="0"/>
        <v>0</v>
      </c>
    </row>
    <row r="22" spans="1:34" x14ac:dyDescent="0.25">
      <c r="A22" s="1">
        <v>140500</v>
      </c>
      <c r="B22" s="9" t="s">
        <v>37</v>
      </c>
      <c r="D22" s="1">
        <v>0</v>
      </c>
      <c r="F22" s="1">
        <v>0</v>
      </c>
      <c r="H22" s="1">
        <v>0</v>
      </c>
      <c r="J22" s="1">
        <v>0</v>
      </c>
      <c r="L22" s="1">
        <v>0</v>
      </c>
      <c r="N22" s="1">
        <v>0</v>
      </c>
      <c r="P22" s="1">
        <v>0</v>
      </c>
      <c r="R22" s="1">
        <v>0</v>
      </c>
      <c r="T22" s="1">
        <v>0</v>
      </c>
      <c r="V22" s="1">
        <v>0</v>
      </c>
      <c r="X22" s="1">
        <v>0</v>
      </c>
      <c r="Z22" s="1">
        <v>0</v>
      </c>
      <c r="AB22" s="1">
        <v>0</v>
      </c>
      <c r="AD22" s="1">
        <v>0</v>
      </c>
      <c r="AF22" s="1">
        <v>0</v>
      </c>
      <c r="AH22" s="11">
        <f t="shared" si="0"/>
        <v>0</v>
      </c>
    </row>
    <row r="23" spans="1:34" ht="6.75" customHeight="1" x14ac:dyDescent="0.25">
      <c r="B23" s="4"/>
      <c r="D23" s="6"/>
      <c r="E23" s="5"/>
      <c r="F23" s="6"/>
      <c r="G23" s="5"/>
      <c r="H23" s="6"/>
      <c r="I23" s="5"/>
      <c r="J23" s="6"/>
      <c r="K23" s="5"/>
      <c r="L23" s="6"/>
      <c r="M23" s="5"/>
      <c r="N23" s="6"/>
      <c r="O23" s="5"/>
      <c r="P23" s="6"/>
      <c r="Q23" s="5"/>
      <c r="R23" s="6"/>
      <c r="S23" s="5"/>
      <c r="T23" s="6"/>
      <c r="U23" s="5"/>
      <c r="V23" s="6"/>
      <c r="W23" s="5"/>
      <c r="X23" s="6"/>
      <c r="Y23" s="5"/>
      <c r="Z23" s="6"/>
      <c r="AA23" s="5"/>
      <c r="AB23" s="6"/>
      <c r="AC23" s="5"/>
      <c r="AD23" s="6"/>
      <c r="AE23" s="5"/>
      <c r="AF23" s="6"/>
      <c r="AH23" s="4"/>
    </row>
    <row r="24" spans="1:34" s="4" customFormat="1" x14ac:dyDescent="0.25">
      <c r="A24" s="7">
        <f>SUM(A11:A23)</f>
        <v>843000</v>
      </c>
      <c r="B24" s="3" t="s">
        <v>32</v>
      </c>
      <c r="D24" s="14">
        <f>SUM(D11:D22)</f>
        <v>0</v>
      </c>
      <c r="F24" s="14">
        <f>SUM(F11:F22)</f>
        <v>0</v>
      </c>
      <c r="H24" s="14">
        <f>SUM(H11:H22)</f>
        <v>0</v>
      </c>
      <c r="J24" s="14">
        <f>SUM(J11:J22)</f>
        <v>0</v>
      </c>
      <c r="L24" s="14">
        <f>SUM(L11:L22)</f>
        <v>0</v>
      </c>
      <c r="N24" s="14">
        <f>SUM(N11:N22)</f>
        <v>0</v>
      </c>
      <c r="P24" s="14">
        <f>SUM(P11:P22)</f>
        <v>0</v>
      </c>
      <c r="R24" s="14">
        <f>SUM(R11:R22)</f>
        <v>0</v>
      </c>
      <c r="T24" s="14">
        <f>SUM(T11:T22)</f>
        <v>0</v>
      </c>
      <c r="V24" s="14">
        <f>SUM(V11:V22)</f>
        <v>0</v>
      </c>
      <c r="X24" s="14">
        <f>SUM(X11:X22)</f>
        <v>0</v>
      </c>
      <c r="Z24" s="14">
        <f>SUM(Z11:Z22)</f>
        <v>0</v>
      </c>
      <c r="AB24" s="14">
        <f>SUM(AB11:AB22)</f>
        <v>0</v>
      </c>
      <c r="AD24" s="14">
        <f>SUM(AD11:AD22)</f>
        <v>0</v>
      </c>
      <c r="AF24" s="14">
        <f>SUM(AF11:AF22)</f>
        <v>0</v>
      </c>
      <c r="AH24" s="7">
        <f>SUM(AH11:AH23)</f>
        <v>0</v>
      </c>
    </row>
    <row r="27" spans="1:34" x14ac:dyDescent="0.25">
      <c r="A27" s="4"/>
      <c r="B27" s="4"/>
      <c r="C27" s="4"/>
      <c r="D27" s="4"/>
      <c r="E27" s="4"/>
      <c r="F27" s="4"/>
      <c r="G27" s="4"/>
      <c r="H27" s="3"/>
      <c r="I27" s="4"/>
      <c r="J27" s="3"/>
    </row>
    <row r="28" spans="1:34" x14ac:dyDescent="0.25">
      <c r="A28" s="3"/>
      <c r="B28" s="3"/>
      <c r="C28" s="3"/>
      <c r="D28" s="3" t="s">
        <v>106</v>
      </c>
      <c r="E28" s="3"/>
      <c r="F28" s="3" t="s">
        <v>120</v>
      </c>
      <c r="G28" s="3"/>
      <c r="H28" s="3" t="s">
        <v>108</v>
      </c>
      <c r="I28" s="3"/>
      <c r="J28" s="3" t="s">
        <v>109</v>
      </c>
      <c r="L28" s="3" t="s">
        <v>110</v>
      </c>
    </row>
    <row r="29" spans="1:34" x14ac:dyDescent="0.25">
      <c r="A29" s="3"/>
      <c r="B29" s="3"/>
      <c r="C29" s="3"/>
      <c r="D29" s="3">
        <v>2015</v>
      </c>
      <c r="E29" s="3"/>
      <c r="F29" s="3">
        <v>2015</v>
      </c>
      <c r="G29" s="3"/>
      <c r="H29" s="3">
        <v>2015</v>
      </c>
      <c r="I29" s="3"/>
      <c r="J29" s="3">
        <v>2015</v>
      </c>
      <c r="L29" s="3">
        <v>2015</v>
      </c>
    </row>
    <row r="30" spans="1:34" x14ac:dyDescent="0.25">
      <c r="A30" s="2"/>
      <c r="B30" s="3" t="s">
        <v>38</v>
      </c>
      <c r="C30" s="2"/>
      <c r="D30" s="20">
        <v>201</v>
      </c>
      <c r="E30" s="1"/>
      <c r="F30" s="20">
        <v>80</v>
      </c>
      <c r="G30" s="1"/>
      <c r="H30" s="20">
        <v>0</v>
      </c>
      <c r="I30" s="1"/>
      <c r="J30" s="54">
        <v>0</v>
      </c>
      <c r="L30" s="20">
        <v>0</v>
      </c>
    </row>
    <row r="31" spans="1:34" x14ac:dyDescent="0.25">
      <c r="B31" s="3" t="s">
        <v>39</v>
      </c>
      <c r="D31" s="20">
        <f>SUM(D52)</f>
        <v>0</v>
      </c>
      <c r="E31" s="1"/>
      <c r="F31" s="20">
        <f>SUM(F52)</f>
        <v>0</v>
      </c>
      <c r="G31" s="1"/>
      <c r="H31" s="20">
        <f>SUM(H52)</f>
        <v>0</v>
      </c>
      <c r="I31" s="1"/>
      <c r="J31" s="54">
        <f>SUM(J52)</f>
        <v>0</v>
      </c>
      <c r="L31" s="20">
        <v>80</v>
      </c>
    </row>
    <row r="32" spans="1:34" x14ac:dyDescent="0.25">
      <c r="A32" s="8"/>
      <c r="B32" s="8"/>
      <c r="C32" s="8"/>
      <c r="D32" s="48">
        <f>SUM(D30-D31)</f>
        <v>201</v>
      </c>
      <c r="E32" s="49"/>
      <c r="F32" s="48">
        <f>SUM(F30-F31)</f>
        <v>80</v>
      </c>
      <c r="G32" s="49"/>
      <c r="H32" s="48">
        <f>SUM(H30-H31)</f>
        <v>0</v>
      </c>
      <c r="I32" s="49"/>
      <c r="J32" s="55">
        <f>SUM(J30-J31)</f>
        <v>0</v>
      </c>
      <c r="L32" s="48">
        <f>SUM(L30-L31)</f>
        <v>-80</v>
      </c>
    </row>
    <row r="33" spans="1:12" x14ac:dyDescent="0.25">
      <c r="A33" s="26" t="s">
        <v>44</v>
      </c>
      <c r="B33" s="52"/>
      <c r="D33" s="19">
        <v>0</v>
      </c>
      <c r="F33" s="19">
        <v>0</v>
      </c>
      <c r="H33" s="19">
        <v>0</v>
      </c>
      <c r="J33" s="1">
        <v>0</v>
      </c>
      <c r="L33" s="1">
        <v>5236</v>
      </c>
    </row>
    <row r="34" spans="1:12" x14ac:dyDescent="0.25">
      <c r="A34" s="53" t="s">
        <v>121</v>
      </c>
      <c r="B34" s="52"/>
      <c r="D34" s="19"/>
      <c r="F34" s="19"/>
      <c r="H34" s="19"/>
      <c r="J34" s="1">
        <v>0</v>
      </c>
      <c r="L34" s="1">
        <v>84</v>
      </c>
    </row>
    <row r="35" spans="1:12" x14ac:dyDescent="0.25">
      <c r="A35" s="53" t="s">
        <v>122</v>
      </c>
      <c r="B35" s="52"/>
      <c r="D35" s="19"/>
      <c r="F35" s="19"/>
      <c r="H35" s="19"/>
      <c r="J35" s="1">
        <v>0</v>
      </c>
      <c r="L35" s="1">
        <v>280</v>
      </c>
    </row>
    <row r="36" spans="1:12" x14ac:dyDescent="0.25">
      <c r="A36" s="53"/>
      <c r="B36" s="52"/>
      <c r="D36" s="19"/>
      <c r="F36" s="19"/>
      <c r="H36" s="19"/>
      <c r="J36" s="14">
        <f>SUM(J33:J35)</f>
        <v>0</v>
      </c>
      <c r="L36" s="14">
        <f>SUM(L33:L35)</f>
        <v>5600</v>
      </c>
    </row>
    <row r="37" spans="1:12" ht="5.25" customHeight="1" x14ac:dyDescent="0.25">
      <c r="A37" s="53"/>
      <c r="B37" s="52"/>
      <c r="D37" s="19"/>
      <c r="F37" s="19"/>
      <c r="H37" s="19"/>
      <c r="J37" s="14"/>
      <c r="L37" s="14"/>
    </row>
    <row r="38" spans="1:12" x14ac:dyDescent="0.25">
      <c r="A38" s="26" t="s">
        <v>45</v>
      </c>
      <c r="B38" s="52"/>
      <c r="D38" s="19">
        <v>0</v>
      </c>
      <c r="F38" s="19">
        <v>0</v>
      </c>
      <c r="H38" s="19">
        <v>0</v>
      </c>
      <c r="J38" s="1">
        <v>0</v>
      </c>
      <c r="L38" s="1">
        <v>1702.75</v>
      </c>
    </row>
    <row r="39" spans="1:12" x14ac:dyDescent="0.25">
      <c r="A39" s="53" t="s">
        <v>121</v>
      </c>
      <c r="B39" s="52"/>
      <c r="D39" s="19"/>
      <c r="F39" s="19"/>
      <c r="H39" s="19"/>
      <c r="J39" s="1">
        <v>0</v>
      </c>
      <c r="L39" s="1">
        <v>673.75</v>
      </c>
    </row>
    <row r="40" spans="1:12" x14ac:dyDescent="0.25">
      <c r="A40" s="53" t="s">
        <v>122</v>
      </c>
      <c r="B40" s="52"/>
      <c r="D40" s="19"/>
      <c r="F40" s="19"/>
      <c r="H40" s="19"/>
      <c r="J40" s="1">
        <v>0</v>
      </c>
      <c r="L40" s="1">
        <v>73.5</v>
      </c>
    </row>
    <row r="41" spans="1:12" x14ac:dyDescent="0.25">
      <c r="A41" s="53"/>
      <c r="B41" s="52"/>
      <c r="D41" s="19"/>
      <c r="F41" s="19"/>
      <c r="H41" s="19"/>
      <c r="J41" s="1"/>
      <c r="L41" s="14">
        <f>SUM(L38:L40)</f>
        <v>2450</v>
      </c>
    </row>
    <row r="42" spans="1:12" ht="6" customHeight="1" x14ac:dyDescent="0.25">
      <c r="A42" s="53"/>
      <c r="B42" s="52"/>
      <c r="D42" s="19"/>
      <c r="F42" s="19"/>
      <c r="H42" s="19"/>
      <c r="J42" s="1"/>
      <c r="L42" s="14"/>
    </row>
    <row r="43" spans="1:12" x14ac:dyDescent="0.25">
      <c r="A43" s="26" t="s">
        <v>149</v>
      </c>
      <c r="B43" s="52"/>
      <c r="D43" s="19">
        <v>0</v>
      </c>
      <c r="F43" s="19">
        <v>0</v>
      </c>
      <c r="H43" s="19">
        <v>0</v>
      </c>
      <c r="J43" s="1">
        <v>0</v>
      </c>
      <c r="L43" s="1">
        <v>1958.95</v>
      </c>
    </row>
    <row r="44" spans="1:12" x14ac:dyDescent="0.25">
      <c r="A44" s="53" t="s">
        <v>121</v>
      </c>
      <c r="B44" s="52"/>
      <c r="D44" s="19"/>
      <c r="F44" s="19"/>
      <c r="H44" s="19"/>
      <c r="J44" s="1">
        <v>0</v>
      </c>
      <c r="L44" s="1">
        <v>0</v>
      </c>
    </row>
    <row r="45" spans="1:12" x14ac:dyDescent="0.25">
      <c r="A45" s="53" t="s">
        <v>122</v>
      </c>
      <c r="B45" s="52"/>
      <c r="D45" s="19"/>
      <c r="F45" s="19"/>
      <c r="H45" s="19"/>
      <c r="J45" s="1">
        <v>0</v>
      </c>
      <c r="L45" s="1">
        <v>71.05</v>
      </c>
    </row>
    <row r="46" spans="1:12" x14ac:dyDescent="0.25">
      <c r="A46" s="53"/>
      <c r="B46" s="52"/>
      <c r="D46" s="19"/>
      <c r="F46" s="19"/>
      <c r="H46" s="19"/>
      <c r="J46" s="1">
        <v>0</v>
      </c>
      <c r="L46" s="14">
        <f>SUM(L43:L45)</f>
        <v>2030</v>
      </c>
    </row>
    <row r="47" spans="1:12" ht="6" customHeight="1" x14ac:dyDescent="0.25">
      <c r="A47" s="53"/>
      <c r="B47" s="52"/>
      <c r="D47" s="19"/>
      <c r="F47" s="19"/>
      <c r="H47" s="19"/>
      <c r="J47" s="1"/>
      <c r="L47" s="1"/>
    </row>
    <row r="48" spans="1:12" x14ac:dyDescent="0.25">
      <c r="A48" s="26" t="s">
        <v>47</v>
      </c>
      <c r="B48" s="52"/>
      <c r="D48" s="19">
        <v>0</v>
      </c>
      <c r="F48" s="19">
        <v>0</v>
      </c>
      <c r="H48" s="19">
        <v>0</v>
      </c>
      <c r="J48" s="1">
        <v>0</v>
      </c>
      <c r="L48" s="1">
        <v>0</v>
      </c>
    </row>
    <row r="49" spans="1:12" x14ac:dyDescent="0.25">
      <c r="A49" s="26" t="s">
        <v>48</v>
      </c>
      <c r="B49" s="52"/>
      <c r="D49" s="19">
        <v>0</v>
      </c>
      <c r="F49" s="19">
        <v>0</v>
      </c>
      <c r="H49" s="19">
        <v>0</v>
      </c>
      <c r="J49" s="1">
        <v>0</v>
      </c>
      <c r="L49" s="1">
        <v>0</v>
      </c>
    </row>
    <row r="50" spans="1:12" x14ac:dyDescent="0.25">
      <c r="A50" s="26" t="s">
        <v>49</v>
      </c>
      <c r="B50" s="52"/>
      <c r="D50" s="19">
        <v>0</v>
      </c>
      <c r="F50" s="19">
        <v>0</v>
      </c>
      <c r="H50" s="19">
        <v>0</v>
      </c>
      <c r="J50" s="1">
        <v>0</v>
      </c>
      <c r="L50" s="1">
        <v>0</v>
      </c>
    </row>
    <row r="51" spans="1:12" x14ac:dyDescent="0.25">
      <c r="B51" s="4"/>
      <c r="D51" s="50"/>
      <c r="E51" s="51"/>
      <c r="F51" s="50"/>
      <c r="G51" s="51"/>
      <c r="H51" s="50"/>
      <c r="I51" s="51"/>
      <c r="J51" s="50"/>
      <c r="L51" s="50"/>
    </row>
    <row r="52" spans="1:12" x14ac:dyDescent="0.25">
      <c r="A52" s="7"/>
      <c r="B52" s="3" t="s">
        <v>32</v>
      </c>
      <c r="C52" s="4"/>
      <c r="D52" s="27">
        <f>SUM(D33:D50)</f>
        <v>0</v>
      </c>
      <c r="E52" s="4"/>
      <c r="F52" s="27">
        <f>SUM(F33:F50)</f>
        <v>0</v>
      </c>
      <c r="G52" s="4"/>
      <c r="H52" s="27">
        <f>SUM(H33:H50)</f>
        <v>0</v>
      </c>
      <c r="I52" s="4"/>
      <c r="J52" s="27"/>
      <c r="L52" s="27">
        <v>0</v>
      </c>
    </row>
  </sheetData>
  <mergeCells count="3">
    <mergeCell ref="F2:AD2"/>
    <mergeCell ref="L3:X3"/>
    <mergeCell ref="N4:V4"/>
  </mergeCells>
  <pageMargins left="0" right="0" top="0" bottom="0" header="0.31496062992125984" footer="0.31496062992125984"/>
  <pageSetup paperSize="9"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M172"/>
  <sheetViews>
    <sheetView zoomScale="91" zoomScaleNormal="91" workbookViewId="0">
      <selection activeCell="E13" sqref="E13"/>
    </sheetView>
  </sheetViews>
  <sheetFormatPr defaultRowHeight="15" x14ac:dyDescent="0.25"/>
  <cols>
    <col min="1" max="1" width="34.42578125" style="122" customWidth="1"/>
    <col min="2" max="2" width="0.5703125" customWidth="1"/>
    <col min="3" max="3" width="15.5703125" bestFit="1" customWidth="1"/>
    <col min="4" max="4" width="0.7109375" customWidth="1"/>
    <col min="5" max="5" width="15.5703125" style="31" bestFit="1" customWidth="1"/>
    <col min="6" max="6" width="0.85546875" customWidth="1"/>
    <col min="7" max="7" width="14.85546875" style="31" bestFit="1" customWidth="1"/>
    <col min="8" max="8" width="0.85546875" customWidth="1"/>
    <col min="9" max="9" width="14.85546875" style="31" bestFit="1" customWidth="1"/>
    <col min="10" max="10" width="0.7109375" customWidth="1"/>
    <col min="11" max="11" width="15.140625" style="75" customWidth="1"/>
    <col min="12" max="12" width="0.42578125" customWidth="1"/>
    <col min="13" max="13" width="16.42578125" bestFit="1" customWidth="1"/>
  </cols>
  <sheetData>
    <row r="1" spans="1:13" ht="15.75" x14ac:dyDescent="0.25">
      <c r="M1" s="93">
        <v>1</v>
      </c>
    </row>
    <row r="2" spans="1:13" ht="31.5" x14ac:dyDescent="0.5">
      <c r="C2" s="305" t="s">
        <v>204</v>
      </c>
      <c r="D2" s="305"/>
      <c r="E2" s="305"/>
      <c r="F2" s="305"/>
      <c r="G2" s="305"/>
      <c r="H2" s="305"/>
      <c r="I2" s="305"/>
      <c r="J2" s="305"/>
      <c r="K2" s="305"/>
    </row>
    <row r="3" spans="1:13" ht="31.5" x14ac:dyDescent="0.5">
      <c r="C3" s="305" t="s">
        <v>205</v>
      </c>
      <c r="D3" s="305"/>
      <c r="E3" s="305"/>
      <c r="F3" s="305"/>
      <c r="G3" s="305"/>
      <c r="H3" s="305"/>
      <c r="I3" s="305"/>
      <c r="J3" s="305"/>
      <c r="K3" s="305"/>
    </row>
    <row r="4" spans="1:13" s="3" customFormat="1" x14ac:dyDescent="0.25">
      <c r="A4" s="37"/>
      <c r="C4" s="136">
        <v>42005</v>
      </c>
      <c r="E4" s="33" t="s">
        <v>107</v>
      </c>
      <c r="G4" s="33" t="s">
        <v>108</v>
      </c>
      <c r="I4" s="33" t="s">
        <v>109</v>
      </c>
      <c r="K4" s="3" t="s">
        <v>110</v>
      </c>
    </row>
    <row r="5" spans="1:13" s="3" customFormat="1" x14ac:dyDescent="0.25">
      <c r="A5" s="123" t="s">
        <v>233</v>
      </c>
      <c r="C5" s="26">
        <f>9058.75+15243.88+95.01+33712.9+12678.42+296.33+5629.32</f>
        <v>76714.609999999986</v>
      </c>
      <c r="E5" s="137">
        <v>579.49</v>
      </c>
      <c r="G5" s="137">
        <v>3027.39</v>
      </c>
      <c r="I5" s="137">
        <v>3096.9</v>
      </c>
      <c r="K5" s="137">
        <v>-414.48</v>
      </c>
      <c r="M5" s="26">
        <v>-17447.04</v>
      </c>
    </row>
    <row r="6" spans="1:13" s="2" customFormat="1" x14ac:dyDescent="0.25">
      <c r="A6" s="123" t="s">
        <v>230</v>
      </c>
      <c r="B6" s="3"/>
      <c r="C6" s="1">
        <f>SUM(C16)</f>
        <v>86914.27</v>
      </c>
      <c r="D6" s="1"/>
      <c r="E6" s="1">
        <f>SUM(E16)</f>
        <v>297203.37000000005</v>
      </c>
      <c r="F6" s="1"/>
      <c r="G6" s="1">
        <f>SUM(G16)</f>
        <v>200983.53</v>
      </c>
      <c r="H6" s="1"/>
      <c r="I6" s="1">
        <f>SUM(I16)</f>
        <v>189133.63</v>
      </c>
      <c r="J6" s="1"/>
      <c r="K6" s="1">
        <f>SUM(K16)</f>
        <v>211784.79000000004</v>
      </c>
      <c r="M6" s="10">
        <f>C5+C6+E6+G6+I6+K6</f>
        <v>1062734.2000000002</v>
      </c>
    </row>
    <row r="7" spans="1:13" x14ac:dyDescent="0.25">
      <c r="A7" s="123" t="s">
        <v>231</v>
      </c>
      <c r="B7" s="3"/>
      <c r="C7" s="1">
        <f>SUM(C157)</f>
        <v>163049.38500000001</v>
      </c>
      <c r="D7" s="1"/>
      <c r="E7" s="1">
        <f>SUM(E157)</f>
        <v>294755.47000000003</v>
      </c>
      <c r="F7" s="1"/>
      <c r="G7" s="1">
        <f>SUM(G157)</f>
        <v>193929.21000000002</v>
      </c>
      <c r="H7" s="1"/>
      <c r="I7" s="1">
        <f>SUM(I157)</f>
        <v>211442.04999999996</v>
      </c>
      <c r="J7" s="1"/>
      <c r="K7" s="1">
        <f>SUM(K157)</f>
        <v>228817.35</v>
      </c>
      <c r="M7" s="10">
        <f>SUM(C7:K7)</f>
        <v>1091993.4650000001</v>
      </c>
    </row>
    <row r="8" spans="1:13" s="35" customFormat="1" x14ac:dyDescent="0.25">
      <c r="A8" s="121"/>
      <c r="C8" s="82">
        <f>SUM(C5+C6-C7)</f>
        <v>579.49499999999534</v>
      </c>
      <c r="E8" s="82">
        <f>SUM(E5+E6-E7)</f>
        <v>3027.390000000014</v>
      </c>
      <c r="G8" s="82">
        <f>SUM(G5+G6-G7)</f>
        <v>10081.709999999992</v>
      </c>
      <c r="I8" s="82">
        <f>SUM(I5+I6-I7)</f>
        <v>-19211.51999999996</v>
      </c>
      <c r="K8" s="82">
        <f>SUM(K5+K6-K7)</f>
        <v>-17447.039999999979</v>
      </c>
      <c r="M8" s="82">
        <f>SUM(M5+M6-M7)</f>
        <v>-46706.304999999935</v>
      </c>
    </row>
    <row r="9" spans="1:13" s="35" customFormat="1" ht="21" x14ac:dyDescent="0.4">
      <c r="A9" s="124" t="s">
        <v>206</v>
      </c>
      <c r="C9" s="68"/>
      <c r="E9" s="68"/>
      <c r="G9" s="68"/>
      <c r="I9" s="68"/>
      <c r="K9" s="73"/>
      <c r="M9" s="71"/>
    </row>
    <row r="10" spans="1:13" s="35" customFormat="1" ht="16.5" x14ac:dyDescent="0.3">
      <c r="A10" s="125" t="s">
        <v>207</v>
      </c>
      <c r="C10" s="73">
        <f>46028.39</f>
        <v>46028.39</v>
      </c>
      <c r="D10" s="85"/>
      <c r="E10" s="73">
        <f>2495.13+41577.04+2495.13+17407.85</f>
        <v>63975.149999999994</v>
      </c>
      <c r="F10" s="85"/>
      <c r="G10" s="73">
        <f>2495.13+17407.85+46093.63+6174.81</f>
        <v>72171.42</v>
      </c>
      <c r="H10" s="85"/>
      <c r="I10" s="73">
        <f>2495.13+17407.85+46120.82+6174.81</f>
        <v>72198.61</v>
      </c>
      <c r="J10" s="85"/>
      <c r="K10" s="73">
        <f>6174.81+2495.13+17407.85+39926.98</f>
        <v>66004.77</v>
      </c>
      <c r="L10" s="85"/>
      <c r="M10" s="86">
        <f>SUM(C10+E10+G10+I10+K10)</f>
        <v>320378.34000000003</v>
      </c>
    </row>
    <row r="11" spans="1:13" s="35" customFormat="1" ht="16.5" x14ac:dyDescent="0.3">
      <c r="A11" s="125" t="s">
        <v>208</v>
      </c>
      <c r="C11" s="73">
        <v>0</v>
      </c>
      <c r="D11" s="85"/>
      <c r="E11" s="73">
        <f>70250</f>
        <v>70250</v>
      </c>
      <c r="F11" s="85"/>
      <c r="G11" s="73">
        <f>70250</f>
        <v>70250</v>
      </c>
      <c r="H11" s="85"/>
      <c r="I11" s="73">
        <v>70250</v>
      </c>
      <c r="J11" s="85"/>
      <c r="K11" s="73">
        <f>70250</f>
        <v>70250</v>
      </c>
      <c r="L11" s="85"/>
      <c r="M11" s="86">
        <f t="shared" ref="M11:M15" si="0">SUM(C11+E11+G11+I11+K11)</f>
        <v>281000</v>
      </c>
    </row>
    <row r="12" spans="1:13" s="35" customFormat="1" ht="16.5" x14ac:dyDescent="0.3">
      <c r="A12" s="125" t="s">
        <v>209</v>
      </c>
      <c r="C12" s="73">
        <f>21708.86</f>
        <v>21708.86</v>
      </c>
      <c r="D12" s="85"/>
      <c r="E12" s="73">
        <f>48653.76</f>
        <v>48653.760000000002</v>
      </c>
      <c r="F12" s="85"/>
      <c r="G12" s="73">
        <f>25000+9117.2</f>
        <v>34117.199999999997</v>
      </c>
      <c r="H12" s="85"/>
      <c r="I12" s="73">
        <f>10552.02+25000</f>
        <v>35552.020000000004</v>
      </c>
      <c r="J12" s="85"/>
      <c r="K12" s="73">
        <f>25000+9058.27+25000</f>
        <v>59058.270000000004</v>
      </c>
      <c r="L12" s="85"/>
      <c r="M12" s="86">
        <f t="shared" si="0"/>
        <v>199090.11</v>
      </c>
    </row>
    <row r="13" spans="1:13" s="35" customFormat="1" ht="16.5" x14ac:dyDescent="0.3">
      <c r="A13" s="125" t="s">
        <v>232</v>
      </c>
      <c r="C13" s="73">
        <v>0</v>
      </c>
      <c r="D13" s="85"/>
      <c r="E13" s="73">
        <f>9500+85500</f>
        <v>95000</v>
      </c>
      <c r="F13" s="85"/>
      <c r="G13" s="73">
        <v>0</v>
      </c>
      <c r="H13" s="85"/>
      <c r="I13" s="73">
        <v>0</v>
      </c>
      <c r="J13" s="85"/>
      <c r="K13" s="73">
        <v>0</v>
      </c>
      <c r="L13" s="85"/>
      <c r="M13" s="86">
        <f t="shared" si="0"/>
        <v>95000</v>
      </c>
    </row>
    <row r="14" spans="1:13" s="35" customFormat="1" ht="16.5" x14ac:dyDescent="0.3">
      <c r="A14" s="125" t="s">
        <v>210</v>
      </c>
      <c r="C14" s="73">
        <f>150+1520+210+150+180+190+570+150+190+150+459+190+270+150+820+360+110+250+50+350+150+750</f>
        <v>7369</v>
      </c>
      <c r="D14" s="85"/>
      <c r="E14" s="73">
        <f>2940+150+150+372.4+195+290+60+50+50+800+194+150+1800+1000+1050+980</f>
        <v>10231.4</v>
      </c>
      <c r="F14" s="85"/>
      <c r="G14" s="73">
        <f>1820+130+115+63+150+140+1520+1000+300+50+150+850+50+150+1000+115+1500+350+850</f>
        <v>10303</v>
      </c>
      <c r="H14" s="85"/>
      <c r="I14" s="73">
        <f>1000+120+110+100+210+80+300+2140+450+213+80+450+150+1500</f>
        <v>6903</v>
      </c>
      <c r="J14" s="85"/>
      <c r="K14" s="73">
        <v>6802.2</v>
      </c>
      <c r="L14" s="85"/>
      <c r="M14" s="86">
        <f t="shared" si="0"/>
        <v>41608.6</v>
      </c>
    </row>
    <row r="15" spans="1:13" s="35" customFormat="1" ht="16.5" x14ac:dyDescent="0.3">
      <c r="A15" s="125" t="s">
        <v>235</v>
      </c>
      <c r="C15" s="73">
        <f>2466.01+9342.01</f>
        <v>11808.02</v>
      </c>
      <c r="D15" s="85"/>
      <c r="E15" s="73">
        <f>5310+3783.06</f>
        <v>9093.06</v>
      </c>
      <c r="F15" s="85"/>
      <c r="G15" s="73">
        <v>14141.91</v>
      </c>
      <c r="H15" s="85"/>
      <c r="I15" s="73">
        <v>4230</v>
      </c>
      <c r="J15" s="85"/>
      <c r="K15" s="73">
        <v>9669.5499999999993</v>
      </c>
      <c r="L15" s="85"/>
      <c r="M15" s="86">
        <f t="shared" si="0"/>
        <v>48942.540000000008</v>
      </c>
    </row>
    <row r="16" spans="1:13" s="35" customFormat="1" ht="21" x14ac:dyDescent="0.4">
      <c r="A16" s="126"/>
      <c r="C16" s="82">
        <f>SUM(C10:C15)</f>
        <v>86914.27</v>
      </c>
      <c r="E16" s="82">
        <f>SUM(E10:E15)</f>
        <v>297203.37000000005</v>
      </c>
      <c r="G16" s="82">
        <f>SUM(G10:G15)</f>
        <v>200983.53</v>
      </c>
      <c r="I16" s="82">
        <f>SUM(I10:I15)</f>
        <v>189133.63</v>
      </c>
      <c r="K16" s="82">
        <f>SUM(K10:K15)</f>
        <v>211784.79000000004</v>
      </c>
      <c r="M16" s="87">
        <f>SUM(C16+E16+G16+I16+K16)</f>
        <v>986019.59000000008</v>
      </c>
    </row>
    <row r="17" spans="1:13" s="8" customFormat="1" ht="21" x14ac:dyDescent="0.4">
      <c r="A17" s="124" t="s">
        <v>60</v>
      </c>
      <c r="C17" s="68"/>
      <c r="D17" s="35"/>
      <c r="E17" s="68"/>
      <c r="F17" s="35"/>
      <c r="G17" s="68"/>
      <c r="H17" s="35"/>
      <c r="I17" s="68"/>
      <c r="J17" s="35"/>
      <c r="K17" s="73"/>
      <c r="M17" s="10"/>
    </row>
    <row r="18" spans="1:13" ht="15.75" x14ac:dyDescent="0.3">
      <c r="A18" s="127" t="s">
        <v>111</v>
      </c>
      <c r="B18" s="32"/>
      <c r="C18" s="6"/>
      <c r="D18" s="31"/>
      <c r="E18" s="6"/>
      <c r="F18" s="31"/>
      <c r="G18" s="6"/>
      <c r="H18" s="31"/>
      <c r="I18" s="6"/>
      <c r="J18" s="31"/>
      <c r="K18" s="74"/>
      <c r="L18" s="31"/>
      <c r="M18" s="76"/>
    </row>
    <row r="19" spans="1:13" ht="15.75" x14ac:dyDescent="0.3">
      <c r="A19" s="128" t="s">
        <v>62</v>
      </c>
      <c r="B19" s="9"/>
      <c r="C19" s="1">
        <f>750+1212.9+1400+1212.9+1212.9+1212.9+724+750+724+1212.9+1300+1141.07+2150+2205.54+300+850+850+1332+4000+850+3045.5+1100+724+724+750+2470.2+724+1141.07+2100+900+1141.07+900+3045.5+1200+850+550</f>
        <v>46756.45</v>
      </c>
      <c r="E19" s="34">
        <f>1400+788+1200+850+788+1141.07+900+788+2470.2+550+1212.9+788+1141.07+788+3045.5+900+1100+2100+1212.9+1212.9+1212.9+1212.9+1212.9+788+788+788+1212.9+1300+1141.07+2205.54+850+1212.9+850+1332+4000+850+3045.5+640.9+494.52</f>
        <v>49514.570000000007</v>
      </c>
      <c r="G19" s="34">
        <f>1212.9+1212.9+788+788+788+1300+80.86+1141.07+2150+788.33+56.67+1212.9+850+1332+4000+1212.9+1141.07+2270+1400+1479+850+1100+1141.07+900+788+788+3045.5+788+2470.2+788+1200+550+1141.07</f>
        <v>40754.439999999995</v>
      </c>
      <c r="I19" s="34">
        <f>788+1212.9+1212.9+1141.07+1212.9+1212.9+850+788+788+900+1141.07+2078.33+788+1212.9+3045.5+793.33+1200+1212.9+850+1332+788+390+850+2842.47+788+2205.54+1400+1479+1132.04+366.67+1141.07+56.67</f>
        <v>37200.160000000003</v>
      </c>
      <c r="K19" s="60">
        <f>1212.9+788+1212.9+788+1212.9+2150+733.33+850+1212.9+850+793.33+1332+3045.5+203.03+1212.9+1141.07+1479+1141.07+850+1141.07+900+788+1200+2270+788+1837.95+900+788+1141.07+4000+1333.33+1300+433.33+2470.2+550+3045.5+1212.8</f>
        <v>48308.080000000009</v>
      </c>
      <c r="M19" s="11">
        <f>SUM(C19+E19+G19+I19+K19)</f>
        <v>222533.7</v>
      </c>
    </row>
    <row r="20" spans="1:13" ht="15.75" x14ac:dyDescent="0.3">
      <c r="A20" s="128" t="s">
        <v>166</v>
      </c>
      <c r="B20" s="9"/>
      <c r="C20" s="1">
        <f>700</f>
        <v>700</v>
      </c>
      <c r="E20" s="34">
        <f>1000+13.23</f>
        <v>1013.23</v>
      </c>
      <c r="G20" s="34">
        <f>1000+13.38+788</f>
        <v>1801.38</v>
      </c>
      <c r="I20" s="34">
        <f>1000+13.38</f>
        <v>1013.38</v>
      </c>
      <c r="K20" s="60">
        <f>266.67</f>
        <v>266.67</v>
      </c>
      <c r="M20" s="11">
        <f t="shared" ref="M20:M54" si="1">SUM(C20+E20+G20+I20+K20)</f>
        <v>4794.66</v>
      </c>
    </row>
    <row r="21" spans="1:13" ht="15.75" x14ac:dyDescent="0.3">
      <c r="A21" s="128" t="s">
        <v>173</v>
      </c>
      <c r="B21" s="9"/>
      <c r="C21" s="1">
        <f>24.66+49.32+24.66</f>
        <v>98.64</v>
      </c>
      <c r="E21" s="34">
        <f>26.2+26.2+52.4</f>
        <v>104.8</v>
      </c>
      <c r="G21" s="34">
        <f>52.4+26.2+26.2</f>
        <v>104.8</v>
      </c>
      <c r="I21" s="34">
        <f>26.2</f>
        <v>26.2</v>
      </c>
      <c r="K21" s="60">
        <f>26.2+26.2</f>
        <v>52.4</v>
      </c>
      <c r="M21" s="11">
        <f t="shared" si="1"/>
        <v>386.84</v>
      </c>
    </row>
    <row r="22" spans="1:13" ht="15.75" x14ac:dyDescent="0.3">
      <c r="A22" s="128" t="s">
        <v>167</v>
      </c>
      <c r="B22" s="9"/>
      <c r="C22" s="1">
        <f>9.16</f>
        <v>9.16</v>
      </c>
      <c r="E22" s="34">
        <v>0</v>
      </c>
      <c r="G22" s="34">
        <v>0</v>
      </c>
      <c r="I22" s="34">
        <v>0</v>
      </c>
      <c r="K22" s="60">
        <f>3.57</f>
        <v>3.57</v>
      </c>
      <c r="M22" s="11">
        <f t="shared" si="1"/>
        <v>12.73</v>
      </c>
    </row>
    <row r="23" spans="1:13" ht="15.75" x14ac:dyDescent="0.3">
      <c r="A23" s="128" t="s">
        <v>159</v>
      </c>
      <c r="B23" s="9"/>
      <c r="C23" s="1">
        <f>22.27+4.25+10.34+0.81+6.32+21.71+24.86+4.54+1.19+31.93+4.46+1.02+31.66+3.36+9.07+38.34+14.28+19.76</f>
        <v>250.17000000000002</v>
      </c>
      <c r="E23" s="34">
        <f>2.14+25.12+15.97+25.9+5.13+0.36+9.45+7.93+0.6+2.22+10.41+0.81+3.16+11.2+1.6+1.99+0.81+10+33.06+2.15</f>
        <v>170.01</v>
      </c>
      <c r="G23" s="34">
        <f>1.69+15.9+0.41+1.2+1.24+5.83+10.37+1.4+6.17+230+8.84+4.5+6.91+3.58+4.05+0.57</f>
        <v>302.65999999999997</v>
      </c>
      <c r="I23" s="34">
        <f>2.32+2.19+4.58+6.93+0.99+1.51+2.85+6.65+3.32+30.2+0.65+0.72+4.12+0.62+0.65+2.07+14.83</f>
        <v>85.2</v>
      </c>
      <c r="K23" s="60">
        <f>2.42+9.02+24.76+3.02+27.61+43.33+1.94+23.01+23.77+39.06+1.43+7.6+43.85+23.38+66.6+0.76+7.31</f>
        <v>348.87000000000006</v>
      </c>
      <c r="M23" s="11">
        <f t="shared" si="1"/>
        <v>1156.9100000000001</v>
      </c>
    </row>
    <row r="24" spans="1:13" ht="15.75" x14ac:dyDescent="0.3">
      <c r="A24" s="128" t="s">
        <v>164</v>
      </c>
      <c r="B24" s="9"/>
      <c r="C24" s="1">
        <f>80</f>
        <v>80</v>
      </c>
      <c r="E24" s="34">
        <f>80</f>
        <v>80</v>
      </c>
      <c r="G24" s="34">
        <f>80</f>
        <v>80</v>
      </c>
      <c r="I24" s="34">
        <f>80</f>
        <v>80</v>
      </c>
      <c r="K24" s="60">
        <f>80</f>
        <v>80</v>
      </c>
      <c r="M24" s="11">
        <f t="shared" si="1"/>
        <v>400</v>
      </c>
    </row>
    <row r="25" spans="1:13" ht="15.75" x14ac:dyDescent="0.3">
      <c r="A25" s="128" t="s">
        <v>157</v>
      </c>
      <c r="B25" s="9"/>
      <c r="C25" s="1">
        <f>17.88+53.76+14.52+11.85+121.82+23.61+9.52+3.02+23.2+102.76+35.54+40.39+17.47+44.67+4.07</f>
        <v>524.08000000000004</v>
      </c>
      <c r="E25" s="34">
        <f>11.12+12.72+18.57+17.51+1.88+14.76+41.24+3.62+11.54+4.77+4.23+16.41+35.52+8.31+10.33+4.21+52.02+21.26+7.89</f>
        <v>297.91000000000003</v>
      </c>
      <c r="G25" s="34">
        <f>3.26+2.45+7.21+7.46+30.32+3.26+31.76+36.31+3.42+53.04+27+41.48+16.41+13.42</f>
        <v>276.8</v>
      </c>
      <c r="I25" s="34">
        <f>12.08+7.85+20.6+34.58+22.61+26.2+9.04+5.16+17.24+96.37+25.79+3.38+4.52+16.91+3.21+3.38+10.77</f>
        <v>319.69</v>
      </c>
      <c r="K25" s="60">
        <f>9.66+3.67+110.45+3.26+5.7+26.98+20.63+3.03+29.23</f>
        <v>212.60999999999999</v>
      </c>
      <c r="M25" s="11">
        <f t="shared" si="1"/>
        <v>1631.09</v>
      </c>
    </row>
    <row r="26" spans="1:13" ht="15.75" x14ac:dyDescent="0.3">
      <c r="A26" s="128" t="s">
        <v>158</v>
      </c>
      <c r="B26" s="9"/>
      <c r="C26" s="1">
        <f>4.22+4.22+83.33+163+85.01+47.15+119.96+89.07</f>
        <v>595.95999999999992</v>
      </c>
      <c r="E26" s="34">
        <f>91.33+53.42+134.66+9.18+49.35+22.74+150.63</f>
        <v>511.31</v>
      </c>
      <c r="G26" s="34">
        <f>10.15+92.11+5.15+5.23+13.77+10.87+5.05</f>
        <v>142.33000000000001</v>
      </c>
      <c r="I26" s="34">
        <f>5.31+14.84+13.42+4.51+117.51</f>
        <v>155.59</v>
      </c>
      <c r="K26" s="60">
        <f>32.41+99.03+12.08+173.33+4.51+92.06+87.17+156.24+12.55+147.69+93.53+266.4</f>
        <v>1177</v>
      </c>
      <c r="M26" s="11">
        <f t="shared" si="1"/>
        <v>2582.1899999999996</v>
      </c>
    </row>
    <row r="27" spans="1:13" ht="15.75" x14ac:dyDescent="0.3">
      <c r="A27" s="128" t="s">
        <v>172</v>
      </c>
      <c r="B27" s="9"/>
      <c r="C27" s="1">
        <f>18.35+17.69+7.45+38.73+73.99</f>
        <v>156.20999999999998</v>
      </c>
      <c r="E27" s="34">
        <f>26.59+11.06+34.39</f>
        <v>72.039999999999992</v>
      </c>
      <c r="G27" s="34">
        <v>0</v>
      </c>
      <c r="I27" s="34">
        <f>13.75</f>
        <v>13.75</v>
      </c>
      <c r="K27" s="60">
        <f>7.08</f>
        <v>7.08</v>
      </c>
      <c r="M27" s="11">
        <f t="shared" si="1"/>
        <v>249.07999999999998</v>
      </c>
    </row>
    <row r="28" spans="1:13" ht="15.75" x14ac:dyDescent="0.3">
      <c r="A28" s="128" t="s">
        <v>160</v>
      </c>
      <c r="B28" s="9"/>
      <c r="C28" s="1">
        <f>0.55+0.71+0.37+0.66+4.04+0.02+1.55+0.75+1.56+0.33+0.35+0.57+9.52+0.035+0.73+8.22+0.97+0.97+1.46+0.13+0.82+0.81+0.77+0.08+0.74+0.95+1.46+0.81+0.21+0.3+0.04+0.02+0.92+0.69+0.89+0.67+0.44+0.03+0.1+0.8+0.44+0.11</f>
        <v>45.595000000000006</v>
      </c>
      <c r="E28" s="34">
        <f>0.45+0.43+0.22+0.48+0.23+0.16+0.84+0.14+0.71+0.41+0.84+0.27+0.37+0.84+0.51+0.15+0.36+0.46+0.46+0.24+0.89+0.64+0.59+0.38+0.11+0.57+0.72+0.8+0.45+0.38+0.82+0.1+0.82+0.92+0.59+0.31+0.26+0.9+0.9</f>
        <v>19.720000000000002</v>
      </c>
      <c r="G28" s="34">
        <f>0.07+0.18+0.45+0.75+0.68+0.22+0.16+0.75+0.76+0.04+0.11+0.92+0.94+0.76+0.08+0.62+0.47+0.25+0.75+0.67+0.73+0.35+0.5+0.89+0.83+0.94+0.59+0.65+0.94+0.02+0.36+0.22+0.24</f>
        <v>16.889999999999997</v>
      </c>
      <c r="I28" s="34">
        <f>0.76+0.36+0.32+0.12+0.76+0.64+0.13+0.58+0.01+0.66+0.45+0.77+0.31+0.5+0.68+0.46+0.35+0.65+0.48+0.76+0.57+0.13+0.31+0.58+0.03+0.67+0.22+0.95+0.48+0.19+0.42+0.67+0.83+0.35</f>
        <v>16.150000000000002</v>
      </c>
      <c r="K28" s="60">
        <f>0.26+0.37+0.73+0.09+0.13+0.45+0.87+0.17+0.27+0.73+0.05+0.79+0.46+0.93+0.49+0.59+0.11+0.08+0.08+0.51+0.88+0.22+0.67+0.91+0.19+0.76+0.53+0.59+0.64+0.23+0.4+0.73+0.21+0.83+0.19</f>
        <v>16.140000000000004</v>
      </c>
      <c r="M28" s="11">
        <f t="shared" si="1"/>
        <v>114.49500000000002</v>
      </c>
    </row>
    <row r="29" spans="1:13" ht="15.75" x14ac:dyDescent="0.3">
      <c r="A29" s="128" t="s">
        <v>155</v>
      </c>
      <c r="B29" s="9"/>
      <c r="C29" s="1">
        <f>72.77+72.77+72.77+72.77+68.46+182.73+182.73</f>
        <v>725</v>
      </c>
      <c r="E29" s="34">
        <f>68.46+148.21+72.77+182.73+72.77+72.77+72.77+68.46+132.33+72.77+182.73</f>
        <v>1146.77</v>
      </c>
      <c r="G29" s="34">
        <f>72.77+64.46+72.77+79.92+72.77+68.46+68.46+68.46+182.73+148.21</f>
        <v>899.01</v>
      </c>
      <c r="I29" s="34">
        <f>72.77+79.92+182.73+68.46+72.77+182.73+72.77+68.46+72.77</f>
        <v>873.37999999999988</v>
      </c>
      <c r="K29" s="60">
        <f>72.77+72.77+72.77+182.73+68.46+68.46+68.46+148.21+72.77+182.73</f>
        <v>1010.13</v>
      </c>
      <c r="M29" s="11">
        <f t="shared" si="1"/>
        <v>4654.29</v>
      </c>
    </row>
    <row r="30" spans="1:13" ht="15.75" x14ac:dyDescent="0.3">
      <c r="A30" s="128" t="s">
        <v>156</v>
      </c>
      <c r="B30" s="9"/>
      <c r="C30" s="1">
        <f>144.26+144.12+118.35+144.8+144.46+144.74+144.8+144.68+139.95+144.8+144.8+144.8+136.66+144.06+43.44+101.36+142.01+144.01+144+144.34+144.8+131.88+144.6+140.23+142.97+144.8+136.9+144.8+144.8+144.28+144.56+143.92+144.8+97.33+140.88</f>
        <v>4795.9900000000016</v>
      </c>
      <c r="E30" s="34">
        <f>137.46+136.72+144.8+144.8+137.74+236.4+135.07+144.8+236.4+231.37+143.31+235.98+143.81+236.4+144.8+141.71+236.4+228.85+143.23+236.4+228.52+236.4+144.39+144.8+139.92+226.39+143.99+235.15+234.3+143.05+235.28+131.16+218.11+144.8+143.54+236.4+144.8+57.92</f>
        <v>6765.37</v>
      </c>
      <c r="G30" s="34">
        <f>157.6+156.72+157.6+235.94+197.35+157.58+152.35+157.51+15.76+156.04+235.64+139.01+57.19+10.51+236.07+122.26+233.51+235.55+235.77+236.4+135.58+590.95+144.85+152.14+236.18+148.77+157.58+152.21+236.4+156.98+236.4+151.19+157.6</f>
        <v>5943.1900000000005</v>
      </c>
      <c r="I30" s="34">
        <f>157.6+236.4+229.83+590.69+220.09+50.5+157.6+235.91-157.06+68.25+155.78+10.51+220.64+157.6+236.1+145.81+157.42+152.24+157.6+236.4+232.63+234.82+236.03+157.6+145.39+236.4+220.47+146.62+141.55+235.78+157.57</f>
        <v>5564.77</v>
      </c>
      <c r="K30" s="60">
        <f>236.4+157.42+236.4+156.11+234.59+148.19+115.57+42.03+156.35+236.07+148.23+145.89+236.4+236.4+15.76+236.4+236.4+591.6+157.6+236.01+157.29+151.8+157.6+157.6+157.39+197+149.31+156.73+236.4+157.6+52.53+156.69+52.34+236.4+236.4+235.18</f>
        <v>6608.0800000000008</v>
      </c>
      <c r="M30" s="11">
        <f t="shared" si="1"/>
        <v>29677.400000000005</v>
      </c>
    </row>
    <row r="31" spans="1:13" ht="15.75" x14ac:dyDescent="0.3">
      <c r="A31" s="128" t="s">
        <v>199</v>
      </c>
      <c r="B31" s="9"/>
      <c r="C31" s="1">
        <v>0</v>
      </c>
      <c r="E31" s="34">
        <f>177.47</f>
        <v>177.47</v>
      </c>
      <c r="G31" s="34">
        <v>0</v>
      </c>
      <c r="I31" s="34">
        <v>0</v>
      </c>
      <c r="K31" s="60">
        <v>0</v>
      </c>
      <c r="M31" s="11">
        <f t="shared" si="1"/>
        <v>177.47</v>
      </c>
    </row>
    <row r="32" spans="1:13" ht="15.75" x14ac:dyDescent="0.3">
      <c r="A32" s="128" t="s">
        <v>162</v>
      </c>
      <c r="B32" s="9"/>
      <c r="C32" s="1">
        <f>80.77+91.2+29.89+3.54+2.27+18.21+118.39+83.48+97.83+135.36</f>
        <v>660.94</v>
      </c>
      <c r="E32" s="34">
        <f>2.58+97.78+101.12+56.7+20.85+135.36+91.35+63.25+134.09+132.77+33.87+130.59</f>
        <v>1000.3100000000001</v>
      </c>
      <c r="G32" s="34">
        <f>120.48+23.89+132.48+121.2+105.3+60.03+135.36</f>
        <v>698.74</v>
      </c>
      <c r="I32" s="34">
        <f>15.65+132.57+70+96.62+65.2+135.36+102.29+126.6+130.76+26.71</f>
        <v>901.7600000000001</v>
      </c>
      <c r="K32" s="60">
        <f>122.37+112.03+92.01+107.7+0.86+105.7+81.68+124.03+135.36</f>
        <v>881.74000000000012</v>
      </c>
      <c r="M32" s="11">
        <f t="shared" si="1"/>
        <v>4143.49</v>
      </c>
    </row>
    <row r="33" spans="1:13" ht="15.75" x14ac:dyDescent="0.3">
      <c r="A33" s="128" t="s">
        <v>165</v>
      </c>
      <c r="B33" s="9"/>
      <c r="C33" s="1">
        <f>800+400+400+300+1000+300+600</f>
        <v>3800</v>
      </c>
      <c r="E33" s="34">
        <f>50+900+900+400+300+100+1000+300</f>
        <v>3950</v>
      </c>
      <c r="G33" s="34">
        <f>1000+1000+400+146.63+900+400</f>
        <v>3846.63</v>
      </c>
      <c r="I33" s="34">
        <f>900+200+400+222+300+500+500+100+400+800</f>
        <v>4322</v>
      </c>
      <c r="K33" s="60">
        <f>500+300+300+1000+1000+1000+1000</f>
        <v>5100</v>
      </c>
      <c r="M33" s="11">
        <f t="shared" si="1"/>
        <v>21018.63</v>
      </c>
    </row>
    <row r="34" spans="1:13" ht="15.75" x14ac:dyDescent="0.3">
      <c r="A34" s="128" t="s">
        <v>211</v>
      </c>
      <c r="B34" s="9"/>
      <c r="C34" s="1">
        <f>-15.76-47.47-50.58-365.09-115.27-87.5-15.76-133.34</f>
        <v>-830.77</v>
      </c>
      <c r="E34" s="34">
        <f>-119.51-145.57-13.84-21.88-21.9-68.41-358.32-127.5</f>
        <v>-876.92999999999984</v>
      </c>
      <c r="G34" s="34">
        <f>-361.2-42.08-29.56-33.22-13.51-145.57-119.51</f>
        <v>-744.64999999999986</v>
      </c>
      <c r="I34" s="34">
        <f>-66.48-98.23-56.59-38.38</f>
        <v>-259.68</v>
      </c>
      <c r="K34" s="60">
        <f>-44.63-107.73-56.18-19.24-361.2-99.74-145.57-125.8</f>
        <v>-960.08999999999992</v>
      </c>
      <c r="M34" s="11">
        <f t="shared" si="1"/>
        <v>-3672.119999999999</v>
      </c>
    </row>
    <row r="35" spans="1:13" ht="15.75" x14ac:dyDescent="0.3">
      <c r="A35" s="128" t="s">
        <v>212</v>
      </c>
      <c r="B35" s="9"/>
      <c r="C35" s="1">
        <f>-80.22-137.8-0.08-119.4-13.52-128.74-0.14-137.11-0.14-124.82-69.5-0.33-74.66-77.94-0.76-135.94-0.74-246.92-121.88-299.18-304.31-93.18-0.47-132.62-79.43-0.52-0.16-130.45-482.92-118.73-371.03-167.06-69.4-74.57-89.69-348.15-71.66-132.54-246.92-89.96-104.36-119.93-385.92-72.31-77.83</f>
        <v>-5533.94</v>
      </c>
      <c r="E35" s="34">
        <f>-133.17-82.92-107.58-79.58-79.11-130.13-98.63-74.62-374.52-146.17-78.03-128.85-80.47-395.99-90.89-195.06-257-138.89-140.72-136.98-138.03-133.48-74.41-79.78-72.1-132.56-257.03-131.24-332.42-92.64-103.41-158.23-72.49-135.81-513.01-134.19-381.1-119.83</f>
        <v>-6011.07</v>
      </c>
      <c r="G35" s="34">
        <f>-93.67-75.22-148.64-107.6-75.63-73.12-75.83-14.12-269.67-130.51-290.3-83.33-6.74+149.61-62.53-150.5-513.01-72.57-374.52-75.66-395.99-73.05-75.63-133.8-132.27-194.61-76.6-57.76-126.16-275.7-140.72-147.42</f>
        <v>-4373.2700000000004</v>
      </c>
      <c r="I35" s="34">
        <f>-93.67-71.05-140.04-138.36-374.93-128.63-106.25-80.6-151.92-75.88-60.02-104.52-45.37-357.04-75.64-314.21-133.4-148.86-140.66-284.26-85.35-134.42-395.99-156.23-108.6-148.28-141.04-147.03-132.84-80.6-74.1-75.56</f>
        <v>-4705.3500000000013</v>
      </c>
      <c r="K35" s="60">
        <f>-138.07-79.16-147.99-84.83-137.99-308.87-92.89-136.46-147.76-85.02-107.49-141.15-381.1-17.5-138.71-139.82-374.76-81.17-134.16-90.97-90.47-108.6-267.03-84.89-183.14-129.65-75.53-130.13-513.01-262.44-269.41-29.4-133.56-374.52-395.99-150.76</f>
        <v>-6164.4</v>
      </c>
      <c r="M35" s="11">
        <f t="shared" si="1"/>
        <v>-26788.03</v>
      </c>
    </row>
    <row r="36" spans="1:13" ht="15.75" x14ac:dyDescent="0.3">
      <c r="A36" s="128" t="s">
        <v>63</v>
      </c>
      <c r="B36" s="9"/>
      <c r="C36" s="1">
        <f>-368.32-366.76-258.54-668.43-504.73-311.87-1000.25-153.69</f>
        <v>-3632.5899999999997</v>
      </c>
      <c r="E36" s="34">
        <f>-362.15-362.15-368.32-366.76-258.54-504.73-1000.25</f>
        <v>-3222.8999999999996</v>
      </c>
      <c r="G36" s="34">
        <f>-1000.25-366.76-258.54-668.43-635.01-362.15-153.69</f>
        <v>-3444.83</v>
      </c>
      <c r="I36" s="34">
        <f>-368.32-362.15-153.69-504.73-701.85</f>
        <v>-2090.7400000000002</v>
      </c>
      <c r="K36" s="60">
        <f>-668.43-311.87-362.15-1000.25-1000.25</f>
        <v>-3342.95</v>
      </c>
      <c r="M36" s="11">
        <f t="shared" si="1"/>
        <v>-15734.009999999998</v>
      </c>
    </row>
    <row r="37" spans="1:13" ht="15.75" x14ac:dyDescent="0.3">
      <c r="A37" s="128" t="s">
        <v>118</v>
      </c>
      <c r="B37" s="9"/>
      <c r="C37" s="1">
        <f>-499.78-253.43-125.99</f>
        <v>-879.2</v>
      </c>
      <c r="E37" s="34">
        <f>-1.99-403.3</f>
        <v>-405.29</v>
      </c>
      <c r="G37" s="34">
        <f>-51.98-1.99</f>
        <v>-53.97</v>
      </c>
      <c r="I37" s="34">
        <f>-321.23-1.99-1.99-1.99-274.84</f>
        <v>-602.04</v>
      </c>
      <c r="K37" s="60">
        <f>-368.32-190.1-580.16-457.53-479.35</f>
        <v>-2075.46</v>
      </c>
      <c r="M37" s="11">
        <f t="shared" si="1"/>
        <v>-4015.96</v>
      </c>
    </row>
    <row r="38" spans="1:13" ht="15.75" x14ac:dyDescent="0.3">
      <c r="A38" s="128" t="s">
        <v>87</v>
      </c>
      <c r="B38" s="9"/>
      <c r="C38" s="1">
        <f>-24.26-24.26-24.26-22.82-44.11-26.64-60.91-22.82</f>
        <v>-250.07999999999996</v>
      </c>
      <c r="E38" s="34">
        <f>-22.82-24.26-24.26-24.16-24.26-22.82-44.11-24.26-26.64-60.91</f>
        <v>-298.5</v>
      </c>
      <c r="G38" s="34">
        <f>-24.26-24.26-22.82-24.26-26.64-24.26-22.82</f>
        <v>-169.32</v>
      </c>
      <c r="I38" s="34">
        <f>-49.4-24.26-24.26-24.26-22.82-26.64-60.91-44.11-22.82</f>
        <v>-299.47999999999996</v>
      </c>
      <c r="K38" s="60">
        <f>-24.26-24.26-24.26-24.26-26.64-60.91-56.85-24.26-22.82-22.82-22.82-22.82-49.4-24.26-22.82-24.26</f>
        <v>-477.71999999999991</v>
      </c>
      <c r="M38" s="11">
        <f t="shared" si="1"/>
        <v>-1495.1</v>
      </c>
    </row>
    <row r="39" spans="1:13" ht="15.75" x14ac:dyDescent="0.3">
      <c r="A39" s="128" t="s">
        <v>171</v>
      </c>
      <c r="B39" s="9"/>
      <c r="C39" s="1">
        <v>0</v>
      </c>
      <c r="E39" s="34">
        <v>0</v>
      </c>
      <c r="G39" s="34">
        <v>0</v>
      </c>
      <c r="I39" s="34">
        <f>-82.34-26.27-40.43-36.67-40.43-49.3-28.33-44.4-26.27-30-28.33-101.52-26.27-73.52-46.67-30-38.04-71.67-26.67-40.43</f>
        <v>-887.55999999999972</v>
      </c>
      <c r="K39" s="60">
        <f>-38.04-133.33-43.33-101.52-28.33-40-40.43-38.04-26.27-26.27-28.33-40.43-40.43</f>
        <v>-624.74999999999989</v>
      </c>
      <c r="M39" s="11">
        <f t="shared" si="1"/>
        <v>-1512.3099999999995</v>
      </c>
    </row>
    <row r="40" spans="1:13" ht="15.75" x14ac:dyDescent="0.3">
      <c r="A40" s="128" t="s">
        <v>163</v>
      </c>
      <c r="B40" s="9"/>
      <c r="C40" s="1">
        <f>-0.17-0.62-0.75-0.2-0.48-0.55-0.52-0.29-0.31-0.76-0.28-0.19-0.31-0.25-0.4-0.38-0.17-1.18-0.27-0.43-0.05-0.21-0.77-0.01-0.92-0.54-0.66-0.21-0.35-0.16-0.69-0.79-0.4-0.7-0.04-0.44-0.99-0.95-0.51-0.1-0.52-0.35-0.58-0.3-0.49-0.23-0.48-0.6-0.63-0.52-0.4-0.93-0.64-0.31-0.04-0.75-0.38-0.77-0.72-0.96-0.65-0.36-0.62-0.19-0.81-0.34-0.94-0.27-0.75-0.24-0.64-0.91-0.7-0.06-0.61</f>
        <v>-36.69</v>
      </c>
      <c r="E40" s="34">
        <f>0.02-0.04-0.44-0.7-0.37-0.66-0.03-0.44-0.02-0.92-0.71-0.89-0.69-0.8-0.1-0.3-0.67-0.71-0.65-0.46-0.75-0.46-0.33-0.35-0.57-0.35-0.73-0.97-0.37-0.81-0.77-0.08-0.74-1.46-0.52-0.81-0.21-0.38-0.9-0.6-0.05</f>
        <v>-21.79</v>
      </c>
      <c r="G40" s="34">
        <f>-0.38-0.27-0.89-0.64-0.59-0.38-0.11-0.57-0.72-0.8-0.13-0.82-0.1-0.82-0.92-0.59-0.76-0.22-0.14-0.41-0.37-0.84-0.43-0.84-0.23-0.51-0.48-0.9-0.45-0.15-0.84-0.46</f>
        <v>-16.760000000000002</v>
      </c>
      <c r="I40" s="34">
        <f>-0.07-0.36-0.24-0.25-0.18-0.35-0.11-0.89-0.68-0.75-0.02-0.31-0.46-0.24-0.73-0.31-0.94-0.94-0.47-0.65-0.36-0.94</f>
        <v>-10.25</v>
      </c>
      <c r="K40" s="60">
        <f>-0.76-0.83-0.19-0.35-0.13-0.13-0.76-0.67-0.95-0.01-0.5-0.66-0.68-0.26-12-0.48-0.64-0.67-0.83-0.76-0.31-0.22-0.45-0.62-0.77-0.35-0.57-0.45-0.64-0.92-0.4-0.36-0.08-0.22-0.75-0.22-0.16-0.5-0.75-0.04-0.58-0.03</f>
        <v>-31.649999999999995</v>
      </c>
      <c r="M40" s="11">
        <f t="shared" si="1"/>
        <v>-117.13999999999999</v>
      </c>
    </row>
    <row r="41" spans="1:13" ht="15.75" x14ac:dyDescent="0.3">
      <c r="A41" s="128" t="s">
        <v>161</v>
      </c>
      <c r="B41" s="9"/>
      <c r="C41" s="1">
        <f>-2.8-5.73-255.78-2.83-0.54-0.61-24.25-120.89-11.27-16.39-4.64-44.4-2.69-98.15-0.99-22.87-9.48-39.49-3.25-1.9-5.44-393.44-22.99</f>
        <v>-1090.82</v>
      </c>
      <c r="E41" s="34">
        <f>70.98-43.95-38.4-60.5-25.81-8.13-2.03-5.37-23.5-38.75-13.14-40.43-2.22-26.58-51.35-7.27-6.02-19.6-10.29-5.73-80.05-103.08-7.41-49.34</f>
        <v>-597.97000000000014</v>
      </c>
      <c r="G41" s="34">
        <f>-4.41-2.36-200.33-0.11-26.25-0.47-0.57-12.88-3.68-86-8.11-1.68+190.59-16.28-4.38-3.04-195.58-1.61-68.77-38.1-1.08-50.44-0.11-26.97-3.12-32.06</f>
        <v>-597.80000000000018</v>
      </c>
      <c r="I41" s="34">
        <f>-60.89-33.69-2.83-14.15-2.29-104.72-2.82-9.82-2.69-2.74-0.15-2.98+147.37-54.91-81.74-9.21-1.89-7.61-19.34-26.79-0.9</f>
        <v>-294.78999999999996</v>
      </c>
      <c r="K41" s="60">
        <f>-0.9-7.45-9.3-128.32-6.75-1.68-50.54-6.47-1.9-0.08-1.75-29.01-1.07-47.35-4.37-7.5-1.6-6.27</f>
        <v>-312.31</v>
      </c>
      <c r="M41" s="11">
        <f t="shared" si="1"/>
        <v>-2893.69</v>
      </c>
    </row>
    <row r="42" spans="1:13" ht="15.75" x14ac:dyDescent="0.3">
      <c r="A42" s="128" t="s">
        <v>181</v>
      </c>
      <c r="B42" s="9"/>
      <c r="C42" s="1">
        <f>2000</f>
        <v>2000</v>
      </c>
      <c r="E42" s="34">
        <f>2000</f>
        <v>2000</v>
      </c>
      <c r="G42" s="34">
        <v>0</v>
      </c>
      <c r="I42" s="34">
        <v>0</v>
      </c>
      <c r="K42" s="60">
        <v>0</v>
      </c>
      <c r="M42" s="11">
        <f t="shared" si="1"/>
        <v>4000</v>
      </c>
    </row>
    <row r="43" spans="1:13" ht="15.75" x14ac:dyDescent="0.3">
      <c r="A43" s="128" t="s">
        <v>65</v>
      </c>
      <c r="B43" s="9"/>
      <c r="C43" s="1">
        <f>4000+2000+1522.75+3045.5+1750+787.5+606.45+252.69+850+425+66.66+0.12+14.3+25+25+15.22</f>
        <v>15386.19</v>
      </c>
      <c r="E43" s="34">
        <v>0</v>
      </c>
      <c r="G43" s="34">
        <v>0</v>
      </c>
      <c r="I43" s="34">
        <v>0</v>
      </c>
      <c r="K43" s="60">
        <v>0</v>
      </c>
      <c r="M43" s="11">
        <f t="shared" si="1"/>
        <v>15386.19</v>
      </c>
    </row>
    <row r="44" spans="1:13" ht="15.75" x14ac:dyDescent="0.3">
      <c r="A44" s="128" t="s">
        <v>186</v>
      </c>
      <c r="B44" s="9"/>
      <c r="C44" s="1">
        <f>-2193.24-1776.34-898.18-342.98-514.56</f>
        <v>-5725.2999999999993</v>
      </c>
      <c r="E44" s="34">
        <v>0</v>
      </c>
      <c r="G44" s="34">
        <v>0</v>
      </c>
      <c r="I44" s="34">
        <v>0</v>
      </c>
      <c r="K44" s="60">
        <v>0</v>
      </c>
      <c r="M44" s="11">
        <f t="shared" si="1"/>
        <v>-5725.2999999999993</v>
      </c>
    </row>
    <row r="45" spans="1:13" ht="16.5" x14ac:dyDescent="0.3">
      <c r="A45" s="106" t="s">
        <v>185</v>
      </c>
      <c r="B45" s="9"/>
      <c r="C45" s="1">
        <f>-213.22-141.2-1.19-4.56-0.05-18.75-2.04-0.44</f>
        <v>-381.45</v>
      </c>
      <c r="E45" s="34">
        <f>-715.85</f>
        <v>-715.85</v>
      </c>
      <c r="G45" s="34">
        <v>0</v>
      </c>
      <c r="I45" s="34">
        <v>0</v>
      </c>
      <c r="K45" s="60">
        <v>0</v>
      </c>
      <c r="M45" s="11">
        <f t="shared" si="1"/>
        <v>-1097.3</v>
      </c>
    </row>
    <row r="46" spans="1:13" ht="15.75" x14ac:dyDescent="0.3">
      <c r="A46" s="128" t="s">
        <v>193</v>
      </c>
      <c r="B46" s="9"/>
      <c r="C46" s="1">
        <f>-482.92-392.39-178.37-64.93-82.35-6.01-0.13-0.09-3.14-2-1.67-2.29-0.27-0.76-0.41-0.13-0.07-1.3-0.36</f>
        <v>-1219.5899999999999</v>
      </c>
      <c r="E46" s="34">
        <f>-0.54-0.79-470.75-266.7-26.63</f>
        <v>-765.41</v>
      </c>
      <c r="G46" s="34">
        <v>0</v>
      </c>
      <c r="I46" s="34">
        <v>0</v>
      </c>
      <c r="K46" s="60">
        <v>0</v>
      </c>
      <c r="M46" s="11">
        <f t="shared" si="1"/>
        <v>-1985</v>
      </c>
    </row>
    <row r="47" spans="1:13" ht="15.75" x14ac:dyDescent="0.3">
      <c r="A47" s="128" t="s">
        <v>64</v>
      </c>
      <c r="B47" s="9"/>
      <c r="C47" s="1">
        <v>0</v>
      </c>
      <c r="E47" s="34">
        <f>1558.96</f>
        <v>1558.96</v>
      </c>
      <c r="G47" s="34">
        <f>5716.11+1853.65</f>
        <v>7569.76</v>
      </c>
      <c r="I47" s="34">
        <f>1609.34</f>
        <v>1609.34</v>
      </c>
      <c r="K47" s="60">
        <f>3808.4+3162.31+2251.18+712.79</f>
        <v>9934.68</v>
      </c>
      <c r="M47" s="11">
        <f t="shared" si="1"/>
        <v>20672.740000000002</v>
      </c>
    </row>
    <row r="48" spans="1:13" ht="15.75" x14ac:dyDescent="0.3">
      <c r="A48" s="128" t="s">
        <v>151</v>
      </c>
      <c r="B48" s="9"/>
      <c r="C48" s="1">
        <v>0</v>
      </c>
      <c r="E48" s="34">
        <v>0</v>
      </c>
      <c r="G48" s="34">
        <f>5750.23+842.6</f>
        <v>6592.83</v>
      </c>
      <c r="I48" s="34">
        <f>1113.09</f>
        <v>1113.0899999999999</v>
      </c>
      <c r="K48" s="60">
        <f>564.22+1092.37+1173.39+3398.24</f>
        <v>6228.2199999999993</v>
      </c>
      <c r="M48" s="11">
        <f t="shared" si="1"/>
        <v>13934.14</v>
      </c>
    </row>
    <row r="49" spans="1:13" ht="15.75" x14ac:dyDescent="0.3">
      <c r="A49" s="128" t="s">
        <v>170</v>
      </c>
      <c r="B49" s="9"/>
      <c r="C49" s="1">
        <f>1471.03+3092.96+1212.9+121.59+132.51+1955.66+850</f>
        <v>8836.65</v>
      </c>
      <c r="E49" s="34">
        <f>2684.96+1212.9+1891.67+157.87+1479+838.1</f>
        <v>8264.5</v>
      </c>
      <c r="G49" s="34">
        <f>1425.37+1565.74+1553.88+3803.62+1132.04+1361.67+793.33+2180.85</f>
        <v>13816.500000000002</v>
      </c>
      <c r="I49" s="34">
        <f>3615.64+2470.2+2876.61+5721.27+1748.71+80.86+733.33-793.33+203.03+71.67+56.67</f>
        <v>16784.659999999996</v>
      </c>
      <c r="K49" s="60">
        <v>0</v>
      </c>
      <c r="M49" s="11">
        <f t="shared" si="1"/>
        <v>47702.31</v>
      </c>
    </row>
    <row r="50" spans="1:13" ht="15.75" x14ac:dyDescent="0.3">
      <c r="A50" s="128" t="s">
        <v>169</v>
      </c>
      <c r="B50" s="9"/>
      <c r="C50" s="1">
        <f>-1176.46-1955.66-1249.01</f>
        <v>-4381.13</v>
      </c>
      <c r="E50" s="34">
        <f>-1471.03-3092.96-157.87</f>
        <v>-4721.8599999999997</v>
      </c>
      <c r="G50" s="34">
        <f>-1461.36-1765.55-1395.09</f>
        <v>-4622</v>
      </c>
      <c r="I50" s="34">
        <f>-3615.64-126.12-1435.78-1450.28-253.57-1289.87</f>
        <v>-8171.2599999999993</v>
      </c>
      <c r="K50" s="60">
        <f>-3550.05-1748.71-5721.27-1958.54-104.38</f>
        <v>-13082.949999999999</v>
      </c>
      <c r="M50" s="11">
        <f t="shared" si="1"/>
        <v>-34979.199999999997</v>
      </c>
    </row>
    <row r="51" spans="1:13" x14ac:dyDescent="0.25">
      <c r="A51" s="129" t="s">
        <v>229</v>
      </c>
      <c r="B51" s="9"/>
      <c r="C51" s="1">
        <f>319.69+144.8+64.27+750+144.8+325+120.84+72.4+0.76+0.58+99.69+81.5+72.4+0.66+210.65+166.28+144.8+0.7+7.43+103.89+120.67+0.75+3.79+52.59+54.3+0.82+46.47+86.39+72.4+0.2+18.92+41.2+30.17+0.02+0.44+72.4+8.01+9.15+0.51+144.8+16.01+18.59+1.39+2.76+2.62+2.85+0.35+537.27+144.8+16.01+18.59+144.8+343.13+83.33+0.45+25+3.35+9.44+5.12+1.46+0.86+16.21+3.29</f>
        <v>4992.8200000000015</v>
      </c>
      <c r="E51" s="34">
        <f>4.49+1.55+503.62+144.8+97.18+55.98+1069.89+747.57+52.3+930.8+606.14+423.62+28.72+527.99</f>
        <v>5194.6500000000005</v>
      </c>
      <c r="G51" s="34">
        <f>96.05+6.39+220.64+485.04+577.81+91.71+26.71+253.33+8.1+0.13+2.74+401.47+135.15+85.37+190.56+11.94+0.92+4.29</f>
        <v>2598.35</v>
      </c>
      <c r="I51" s="34">
        <f>1139.69+236.4+32.11+680.37+6.86+0.46+15.76+34.65+388.89+14.49+105.07+413.93+19.44+0.72+5.25+36.67+20.69+194.44+60.42+147.09+398.43+10.39+6.89+15.76+78.69+304.11+0.07+4.28+1.45+0.14+0.42+13.33+1.41+4.83+30.41+133.34+14.06+48.26+716.67+28.68+9.65+6.1+13.61+0.86+0.06+0.3</f>
        <v>5395.6</v>
      </c>
      <c r="K51" s="60">
        <f>56.67+13.89+4.32+10.51+28.46+1101.68+220.64+96.52+145.42+2842.47+1141.07+51.35+12.42+236.4+480.41+2666.67+411.11+105.07+1060.95+216.24+530.47+1333.33+52.53+205.56+25.5+43.33+5.25+0.14+27.78+510.04+105.07+2.82+555.55+866.67+0.94</f>
        <v>15167.25</v>
      </c>
      <c r="M51" s="11">
        <f t="shared" si="1"/>
        <v>33348.67</v>
      </c>
    </row>
    <row r="52" spans="1:13" ht="16.5" x14ac:dyDescent="0.3">
      <c r="A52" s="106" t="s">
        <v>168</v>
      </c>
      <c r="B52" s="9"/>
      <c r="C52" s="1">
        <v>0</v>
      </c>
      <c r="E52" s="34">
        <v>0</v>
      </c>
      <c r="G52" s="34">
        <f>-26.9-0.82</f>
        <v>-27.72</v>
      </c>
      <c r="I52" s="34">
        <f>-309.93-22.93-1.42</f>
        <v>-334.28000000000003</v>
      </c>
      <c r="K52" s="60">
        <f>-321.02-172.94-177.61</f>
        <v>-671.56999999999994</v>
      </c>
      <c r="M52" s="11">
        <f t="shared" si="1"/>
        <v>-1033.57</v>
      </c>
    </row>
    <row r="53" spans="1:13" ht="15.75" x14ac:dyDescent="0.3">
      <c r="A53" s="128" t="s">
        <v>66</v>
      </c>
      <c r="B53" s="9"/>
      <c r="C53" s="1">
        <f>-102.3-193.41-123.52</f>
        <v>-419.22999999999996</v>
      </c>
      <c r="E53" s="34">
        <f>-181.3</f>
        <v>-181.3</v>
      </c>
      <c r="G53" s="34">
        <f>-144.52-0.85-174.61-1.78-254.23-31.26</f>
        <v>-607.25</v>
      </c>
      <c r="I53" s="34">
        <f>-501.46-149.01-72.97-12.47-143.43-5.68-0.42-34.2-13.38</f>
        <v>-933.0200000000001</v>
      </c>
      <c r="K53" s="60">
        <f>-13.43-10.25-103.6-12.49-478.81-466.81-183.61-70.49-10.33</f>
        <v>-1349.82</v>
      </c>
      <c r="M53" s="11">
        <f t="shared" si="1"/>
        <v>-3490.62</v>
      </c>
    </row>
    <row r="54" spans="1:13" ht="15.75" x14ac:dyDescent="0.3">
      <c r="A54" s="128" t="s">
        <v>198</v>
      </c>
      <c r="B54" s="9"/>
      <c r="C54" s="1">
        <v>0</v>
      </c>
      <c r="E54" s="34">
        <f>-2000</f>
        <v>-2000</v>
      </c>
      <c r="G54" s="34">
        <v>0</v>
      </c>
      <c r="I54" s="34">
        <v>0</v>
      </c>
      <c r="K54" s="60">
        <v>0</v>
      </c>
      <c r="M54" s="11">
        <f t="shared" si="1"/>
        <v>-2000</v>
      </c>
    </row>
    <row r="55" spans="1:13" s="32" customFormat="1" ht="15.75" x14ac:dyDescent="0.3">
      <c r="A55" s="118" t="s">
        <v>32</v>
      </c>
      <c r="C55" s="81">
        <f>SUM(C19:C54)</f>
        <v>66033.065000000017</v>
      </c>
      <c r="E55" s="81">
        <f>SUM(E19:E54)</f>
        <v>62022.750000000007</v>
      </c>
      <c r="G55" s="81">
        <f>SUM(G19:G54)</f>
        <v>70786.740000000005</v>
      </c>
      <c r="I55" s="81">
        <f>SUM(I19:I54)</f>
        <v>56886.269999999982</v>
      </c>
      <c r="K55" s="81">
        <f>SUM(K19:K54)</f>
        <v>66308.850000000006</v>
      </c>
      <c r="M55" s="79">
        <f>SUM(C55+E55+G55+I55+K55)</f>
        <v>322037.67500000005</v>
      </c>
    </row>
    <row r="56" spans="1:13" ht="15.75" x14ac:dyDescent="0.3">
      <c r="A56" s="127" t="s">
        <v>174</v>
      </c>
      <c r="B56" s="9"/>
      <c r="C56" s="1"/>
      <c r="E56" s="34"/>
      <c r="G56" s="34"/>
      <c r="I56" s="34"/>
      <c r="K56" s="60"/>
      <c r="M56" s="76"/>
    </row>
    <row r="57" spans="1:13" ht="15.75" x14ac:dyDescent="0.3">
      <c r="A57" s="130" t="s">
        <v>175</v>
      </c>
      <c r="B57" s="9"/>
      <c r="C57" s="1">
        <f>2400</f>
        <v>2400</v>
      </c>
      <c r="E57" s="34">
        <f>1000+2400</f>
        <v>3400</v>
      </c>
      <c r="G57" s="34">
        <v>2400</v>
      </c>
      <c r="I57" s="34">
        <f>2400</f>
        <v>2400</v>
      </c>
      <c r="K57" s="60">
        <f>2400</f>
        <v>2400</v>
      </c>
      <c r="M57" s="11">
        <f>SUM(C57+E57+G57+I57+K57)</f>
        <v>13000</v>
      </c>
    </row>
    <row r="58" spans="1:13" ht="15.75" x14ac:dyDescent="0.3">
      <c r="A58" s="130" t="s">
        <v>73</v>
      </c>
      <c r="B58" s="9"/>
      <c r="C58" s="1">
        <f>724</f>
        <v>724</v>
      </c>
      <c r="E58" s="34">
        <f>788</f>
        <v>788</v>
      </c>
      <c r="G58" s="34">
        <f>788</f>
        <v>788</v>
      </c>
      <c r="I58" s="34">
        <f>788</f>
        <v>788</v>
      </c>
      <c r="K58" s="60">
        <f>788</f>
        <v>788</v>
      </c>
      <c r="M58" s="11">
        <f>SUM(C58+E58+G58+I58+K58)</f>
        <v>3876</v>
      </c>
    </row>
    <row r="59" spans="1:13" ht="15.75" x14ac:dyDescent="0.3">
      <c r="A59" s="130"/>
      <c r="B59" s="9"/>
      <c r="C59" s="1"/>
      <c r="E59" s="34"/>
      <c r="G59" s="34"/>
      <c r="I59" s="34"/>
      <c r="K59" s="60"/>
      <c r="M59" s="76"/>
    </row>
    <row r="60" spans="1:13" s="32" customFormat="1" ht="15.75" x14ac:dyDescent="0.3">
      <c r="A60" s="118" t="s">
        <v>32</v>
      </c>
      <c r="C60" s="81">
        <f>SUM(C57:C59)</f>
        <v>3124</v>
      </c>
      <c r="E60" s="81">
        <f>SUM(E57:E59)</f>
        <v>4188</v>
      </c>
      <c r="G60" s="81">
        <f>SUM(G57:G59)</f>
        <v>3188</v>
      </c>
      <c r="I60" s="81">
        <f>SUM(I57:I59)</f>
        <v>3188</v>
      </c>
      <c r="K60" s="81">
        <f>SUM(K57:K58)</f>
        <v>3188</v>
      </c>
      <c r="M60" s="79">
        <f>SUM(M57:M59)</f>
        <v>16876</v>
      </c>
    </row>
    <row r="61" spans="1:13" s="32" customFormat="1" ht="18" x14ac:dyDescent="0.35">
      <c r="A61" s="131" t="s">
        <v>213</v>
      </c>
      <c r="B61" s="9"/>
      <c r="C61" s="69"/>
      <c r="E61" s="69"/>
      <c r="G61" s="69"/>
      <c r="I61" s="69"/>
      <c r="K61" s="69"/>
      <c r="M61" s="76"/>
    </row>
    <row r="62" spans="1:13" s="32" customFormat="1" ht="16.5" x14ac:dyDescent="0.3">
      <c r="A62" s="132" t="s">
        <v>214</v>
      </c>
      <c r="B62" s="9"/>
      <c r="C62" s="60">
        <f>7428.99</f>
        <v>7428.99</v>
      </c>
      <c r="D62" s="61"/>
      <c r="E62" s="1">
        <f>7766.99+7600.76</f>
        <v>15367.75</v>
      </c>
      <c r="F62" s="61"/>
      <c r="G62" s="60">
        <v>0</v>
      </c>
      <c r="H62" s="61"/>
      <c r="I62" s="60"/>
      <c r="J62" s="61"/>
      <c r="K62" s="60">
        <f>6051.96</f>
        <v>6051.96</v>
      </c>
      <c r="M62" s="76">
        <f>SUM(C62+E62+G62+I62+K62)</f>
        <v>28848.699999999997</v>
      </c>
    </row>
    <row r="63" spans="1:13" s="32" customFormat="1" ht="16.5" x14ac:dyDescent="0.3">
      <c r="A63" s="132" t="s">
        <v>215</v>
      </c>
      <c r="B63" s="9"/>
      <c r="C63" s="60">
        <f>6005.62</f>
        <v>6005.62</v>
      </c>
      <c r="D63" s="61"/>
      <c r="E63" s="60">
        <f>5901.09+8616.91</f>
        <v>14518</v>
      </c>
      <c r="F63" s="61"/>
      <c r="G63" s="60">
        <v>0</v>
      </c>
      <c r="H63" s="61"/>
      <c r="I63" s="60">
        <f>8793.35+6116.57+5851.22</f>
        <v>20761.14</v>
      </c>
      <c r="J63" s="61"/>
      <c r="K63" s="60">
        <f>6177.85</f>
        <v>6177.85</v>
      </c>
      <c r="M63" s="76">
        <f t="shared" ref="M63:M67" si="2">SUM(C63+E63+G63+I63+K63)</f>
        <v>47462.609999999993</v>
      </c>
    </row>
    <row r="64" spans="1:13" s="32" customFormat="1" ht="16.5" x14ac:dyDescent="0.3">
      <c r="A64" s="132" t="s">
        <v>216</v>
      </c>
      <c r="B64" s="9"/>
      <c r="C64" s="60">
        <v>0</v>
      </c>
      <c r="D64" s="61"/>
      <c r="E64" s="60">
        <f>5678.94+5702.34</f>
        <v>11381.279999999999</v>
      </c>
      <c r="F64" s="61"/>
      <c r="G64" s="60">
        <v>0</v>
      </c>
      <c r="H64" s="61"/>
      <c r="I64" s="60">
        <f>927.87+5059.06+6011.62</f>
        <v>11998.55</v>
      </c>
      <c r="J64" s="61"/>
      <c r="K64" s="60">
        <f>10697.88</f>
        <v>10697.88</v>
      </c>
      <c r="M64" s="76">
        <f t="shared" si="2"/>
        <v>34077.71</v>
      </c>
    </row>
    <row r="65" spans="1:13" s="32" customFormat="1" ht="16.5" x14ac:dyDescent="0.3">
      <c r="A65" s="132" t="s">
        <v>217</v>
      </c>
      <c r="B65" s="9"/>
      <c r="C65" s="60">
        <v>0</v>
      </c>
      <c r="D65" s="61"/>
      <c r="E65" s="60">
        <f>575.39+535.85</f>
        <v>1111.24</v>
      </c>
      <c r="F65" s="61"/>
      <c r="G65" s="60">
        <v>0</v>
      </c>
      <c r="H65" s="61"/>
      <c r="I65" s="60">
        <f>680.59+693.24+305.92+161.8</f>
        <v>1841.55</v>
      </c>
      <c r="J65" s="61"/>
      <c r="K65" s="60">
        <f>731.81</f>
        <v>731.81</v>
      </c>
      <c r="M65" s="76">
        <f t="shared" si="2"/>
        <v>3684.6</v>
      </c>
    </row>
    <row r="66" spans="1:13" s="32" customFormat="1" ht="16.5" x14ac:dyDescent="0.3">
      <c r="A66" s="132" t="s">
        <v>218</v>
      </c>
      <c r="B66" s="9"/>
      <c r="C66" s="60">
        <v>0</v>
      </c>
      <c r="D66" s="61"/>
      <c r="E66" s="60">
        <f>1084.35+1089.08</f>
        <v>2173.4299999999998</v>
      </c>
      <c r="F66" s="61"/>
      <c r="G66" s="60">
        <v>0</v>
      </c>
      <c r="H66" s="61"/>
      <c r="I66" s="60">
        <f>1053.44+1175.03+2770.74+1497.1</f>
        <v>6496.3099999999995</v>
      </c>
      <c r="J66" s="61"/>
      <c r="K66" s="60">
        <f>1316.74</f>
        <v>1316.74</v>
      </c>
      <c r="M66" s="76">
        <f t="shared" si="2"/>
        <v>9986.48</v>
      </c>
    </row>
    <row r="67" spans="1:13" s="32" customFormat="1" ht="16.5" x14ac:dyDescent="0.3">
      <c r="A67" s="132" t="s">
        <v>219</v>
      </c>
      <c r="B67" s="9"/>
      <c r="C67" s="60">
        <v>0</v>
      </c>
      <c r="D67" s="61"/>
      <c r="E67" s="60">
        <f>834.19+891.21</f>
        <v>1725.4</v>
      </c>
      <c r="F67" s="61"/>
      <c r="G67" s="60">
        <v>0</v>
      </c>
      <c r="H67" s="61"/>
      <c r="I67" s="60">
        <f>1579.51+812.18+854.57+824.01</f>
        <v>4070.2700000000004</v>
      </c>
      <c r="J67" s="61"/>
      <c r="K67" s="60">
        <f>893.49</f>
        <v>893.49</v>
      </c>
      <c r="M67" s="76">
        <f t="shared" si="2"/>
        <v>6689.16</v>
      </c>
    </row>
    <row r="68" spans="1:13" s="32" customFormat="1" ht="18" x14ac:dyDescent="0.35">
      <c r="A68" s="133" t="s">
        <v>32</v>
      </c>
      <c r="B68" s="3"/>
      <c r="C68" s="81">
        <f>SUM(C62:C67)</f>
        <v>13434.61</v>
      </c>
      <c r="E68" s="81">
        <f>SUM(E62:E67)</f>
        <v>46277.1</v>
      </c>
      <c r="G68" s="81">
        <f>SUM(G62:G67)</f>
        <v>0</v>
      </c>
      <c r="I68" s="81">
        <f>SUM(I62:I67)</f>
        <v>45167.819999999992</v>
      </c>
      <c r="K68" s="81">
        <f>SUM(K62:K67)</f>
        <v>25869.730000000007</v>
      </c>
      <c r="M68" s="79">
        <f>SUM(C68+E68+G68+I68+K68)</f>
        <v>130749.26000000001</v>
      </c>
    </row>
    <row r="69" spans="1:13" s="32" customFormat="1" ht="16.5" x14ac:dyDescent="0.3">
      <c r="A69" s="127" t="s">
        <v>51</v>
      </c>
      <c r="B69" s="9"/>
      <c r="C69" s="69"/>
      <c r="E69" s="69"/>
      <c r="G69" s="69"/>
      <c r="I69" s="69"/>
      <c r="K69" s="69"/>
      <c r="M69" s="93">
        <v>2</v>
      </c>
    </row>
    <row r="70" spans="1:13" s="32" customFormat="1" ht="15.75" x14ac:dyDescent="0.3">
      <c r="A70" s="128" t="s">
        <v>220</v>
      </c>
      <c r="B70" s="9"/>
      <c r="C70" s="1">
        <f>547.38+552.21</f>
        <v>1099.5900000000001</v>
      </c>
      <c r="D70"/>
      <c r="E70" s="1">
        <v>556.94000000000005</v>
      </c>
      <c r="F70"/>
      <c r="G70" s="1">
        <f>561.06</f>
        <v>561.05999999999995</v>
      </c>
      <c r="H70"/>
      <c r="I70" s="1">
        <f>566.3</f>
        <v>566.29999999999995</v>
      </c>
      <c r="J70"/>
      <c r="K70" s="1">
        <f>571.08</f>
        <v>571.08000000000004</v>
      </c>
      <c r="L70"/>
      <c r="M70" s="11">
        <f t="shared" ref="M70:M72" si="3">SUM(C70+E70+G70+I70+K70)</f>
        <v>3354.9700000000003</v>
      </c>
    </row>
    <row r="71" spans="1:13" s="32" customFormat="1" ht="15.75" x14ac:dyDescent="0.3">
      <c r="A71" s="128" t="s">
        <v>221</v>
      </c>
      <c r="B71" s="9"/>
      <c r="C71" s="1">
        <v>0</v>
      </c>
      <c r="D71"/>
      <c r="E71" s="1">
        <f>602.49+602.49</f>
        <v>1204.98</v>
      </c>
      <c r="F71"/>
      <c r="G71" s="1">
        <f>607.02</f>
        <v>607.02</v>
      </c>
      <c r="H71"/>
      <c r="I71" s="1">
        <f>612.76</f>
        <v>612.76</v>
      </c>
      <c r="J71"/>
      <c r="K71" s="1">
        <f>618.01</f>
        <v>618.01</v>
      </c>
      <c r="L71"/>
      <c r="M71" s="11">
        <f t="shared" si="3"/>
        <v>3042.7700000000004</v>
      </c>
    </row>
    <row r="72" spans="1:13" s="32" customFormat="1" ht="15.75" x14ac:dyDescent="0.3">
      <c r="A72" s="128" t="s">
        <v>222</v>
      </c>
      <c r="B72" s="9"/>
      <c r="C72" s="1">
        <v>0</v>
      </c>
      <c r="D72"/>
      <c r="E72" s="1">
        <v>0</v>
      </c>
      <c r="F72"/>
      <c r="G72" s="1">
        <v>0</v>
      </c>
      <c r="H72"/>
      <c r="I72" s="1">
        <f>501.17</f>
        <v>501.17</v>
      </c>
      <c r="J72"/>
      <c r="K72" s="1">
        <f>506.18</f>
        <v>506.18</v>
      </c>
      <c r="L72"/>
      <c r="M72" s="11">
        <f t="shared" si="3"/>
        <v>1007.35</v>
      </c>
    </row>
    <row r="73" spans="1:13" s="32" customFormat="1" ht="15.75" x14ac:dyDescent="0.3">
      <c r="A73" s="134" t="s">
        <v>32</v>
      </c>
      <c r="B73" s="33"/>
      <c r="C73" s="81">
        <f>SUM(C70:C72)</f>
        <v>1099.5900000000001</v>
      </c>
      <c r="E73" s="81">
        <f>SUM(E70:E72)</f>
        <v>1761.92</v>
      </c>
      <c r="G73" s="81">
        <f>SUM(G70:G72)</f>
        <v>1168.08</v>
      </c>
      <c r="I73" s="81">
        <f>SUM(I70:I72)</f>
        <v>1680.23</v>
      </c>
      <c r="K73" s="81">
        <f>SUM(K70:K72)</f>
        <v>1695.2700000000002</v>
      </c>
      <c r="M73" s="79">
        <f>SUM(C73+E73+G73+I73+K73)</f>
        <v>7405.09</v>
      </c>
    </row>
    <row r="74" spans="1:13" ht="15.75" x14ac:dyDescent="0.3">
      <c r="A74" s="127" t="s">
        <v>223</v>
      </c>
      <c r="B74" s="9"/>
      <c r="C74" s="1"/>
      <c r="E74" s="34"/>
      <c r="G74" s="34"/>
      <c r="I74" s="34"/>
      <c r="K74" s="60"/>
      <c r="M74" s="76"/>
    </row>
    <row r="75" spans="1:13" ht="15.75" x14ac:dyDescent="0.3">
      <c r="A75" s="128" t="s">
        <v>224</v>
      </c>
      <c r="B75" s="9"/>
      <c r="C75" s="60">
        <f>5924.94</f>
        <v>5924.94</v>
      </c>
      <c r="E75" s="34">
        <v>6174.81</v>
      </c>
      <c r="G75" s="34">
        <v>6174.81</v>
      </c>
      <c r="I75" s="34">
        <f>6304.81</f>
        <v>6304.81</v>
      </c>
      <c r="K75" s="60">
        <f>6174.81</f>
        <v>6174.81</v>
      </c>
      <c r="M75" s="11">
        <f>SUM(C75+E75+G75+I75+K75)</f>
        <v>30754.180000000004</v>
      </c>
    </row>
    <row r="76" spans="1:13" ht="15.75" x14ac:dyDescent="0.3">
      <c r="A76" s="134" t="s">
        <v>32</v>
      </c>
      <c r="B76" s="32"/>
      <c r="C76" s="81">
        <f>SUM(C75)</f>
        <v>5924.94</v>
      </c>
      <c r="D76" s="32"/>
      <c r="E76" s="81">
        <f>SUM(E75)</f>
        <v>6174.81</v>
      </c>
      <c r="F76" s="32"/>
      <c r="G76" s="81">
        <f>SUM(G75)</f>
        <v>6174.81</v>
      </c>
      <c r="H76" s="32"/>
      <c r="I76" s="81">
        <f>SUM(I75)</f>
        <v>6304.81</v>
      </c>
      <c r="J76" s="32"/>
      <c r="K76" s="81">
        <f>SUM(K75)</f>
        <v>6174.81</v>
      </c>
      <c r="L76" s="32"/>
      <c r="M76" s="79">
        <f>SUM(C76+E76+G76+I76+K76)</f>
        <v>30754.180000000004</v>
      </c>
    </row>
    <row r="77" spans="1:13" ht="15.75" x14ac:dyDescent="0.3">
      <c r="A77" s="127" t="s">
        <v>68</v>
      </c>
      <c r="B77" s="9"/>
      <c r="C77" s="1"/>
      <c r="E77" s="34"/>
      <c r="G77" s="34"/>
      <c r="I77" s="34"/>
      <c r="K77" s="60"/>
      <c r="M77" s="76"/>
    </row>
    <row r="78" spans="1:13" ht="15.75" x14ac:dyDescent="0.3">
      <c r="A78" s="128" t="s">
        <v>112</v>
      </c>
      <c r="B78" s="9"/>
      <c r="C78" s="1">
        <f>10147+7480+16530</f>
        <v>34157</v>
      </c>
      <c r="E78" s="34">
        <f>1870+8569.99+8228+18810</f>
        <v>37477.99</v>
      </c>
      <c r="G78" s="34">
        <f>3038.75+15801.5+14679.5+18925.49+2337.5</f>
        <v>54782.740000000005</v>
      </c>
      <c r="I78" s="34">
        <f>5069.5+3325</f>
        <v>8394.5</v>
      </c>
      <c r="K78" s="60">
        <f>19391.13+23281.5+29452.5</f>
        <v>72125.13</v>
      </c>
      <c r="M78" s="11">
        <f>SUM(C78+E78+G78+I78+K78)</f>
        <v>206937.36</v>
      </c>
    </row>
    <row r="79" spans="1:13" ht="15.75" x14ac:dyDescent="0.3">
      <c r="A79" s="128" t="s">
        <v>69</v>
      </c>
      <c r="B79" s="9"/>
      <c r="C79" s="1">
        <f>1400+1776.5+6030.75</f>
        <v>9207.25</v>
      </c>
      <c r="E79" s="34">
        <f>5240.94+1542.75+2807.02+6451.5+3038.75+981.75+1187.5</f>
        <v>21250.21</v>
      </c>
      <c r="G79" s="34">
        <f>1447.95+4095.28</f>
        <v>5543.2300000000005</v>
      </c>
      <c r="I79" s="34">
        <f>137.9+1418.55+3440.47+4385.15+7012.5+1080.8</f>
        <v>17475.37</v>
      </c>
      <c r="K79" s="60">
        <f>5236+1702.75+1958.95</f>
        <v>8897.7000000000007</v>
      </c>
      <c r="M79" s="11">
        <f t="shared" ref="M79:M82" si="4">SUM(C79+E79+G79+I79+K79)</f>
        <v>62373.759999999995</v>
      </c>
    </row>
    <row r="80" spans="1:13" ht="15.75" x14ac:dyDescent="0.3">
      <c r="A80" s="128" t="s">
        <v>150</v>
      </c>
      <c r="B80" s="9"/>
      <c r="C80" s="1">
        <v>0</v>
      </c>
      <c r="E80" s="34">
        <f>14292.68+7300.13+5385.6</f>
        <v>26978.410000000003</v>
      </c>
      <c r="G80" s="34">
        <v>0</v>
      </c>
      <c r="I80" s="34">
        <f>7635.37+18797.04</f>
        <v>26432.41</v>
      </c>
      <c r="K80" s="60">
        <v>0</v>
      </c>
      <c r="M80" s="11">
        <f t="shared" si="4"/>
        <v>53410.820000000007</v>
      </c>
    </row>
    <row r="81" spans="1:13" ht="15.75" x14ac:dyDescent="0.3">
      <c r="A81" s="128" t="s">
        <v>70</v>
      </c>
      <c r="B81" s="9"/>
      <c r="C81" s="1">
        <v>0</v>
      </c>
      <c r="E81" s="34">
        <v>0</v>
      </c>
      <c r="G81" s="34">
        <v>0</v>
      </c>
      <c r="I81" s="34">
        <v>0</v>
      </c>
      <c r="K81" s="60">
        <v>0</v>
      </c>
      <c r="M81" s="11">
        <f t="shared" si="4"/>
        <v>0</v>
      </c>
    </row>
    <row r="82" spans="1:13" ht="15.75" x14ac:dyDescent="0.3">
      <c r="A82" s="128" t="s">
        <v>71</v>
      </c>
      <c r="B82" s="9"/>
      <c r="C82" s="1">
        <v>0</v>
      </c>
      <c r="E82" s="34">
        <v>0</v>
      </c>
      <c r="G82" s="34">
        <v>0</v>
      </c>
      <c r="I82" s="34">
        <v>0</v>
      </c>
      <c r="K82" s="60">
        <v>0</v>
      </c>
      <c r="M82" s="11">
        <f t="shared" si="4"/>
        <v>0</v>
      </c>
    </row>
    <row r="83" spans="1:13" ht="15.75" x14ac:dyDescent="0.3">
      <c r="A83" s="134" t="s">
        <v>32</v>
      </c>
      <c r="B83" s="32"/>
      <c r="C83" s="81">
        <f>SUM(C78:C82)</f>
        <v>43364.25</v>
      </c>
      <c r="D83" s="32"/>
      <c r="E83" s="81">
        <f>SUM(E78:E82)</f>
        <v>85706.61</v>
      </c>
      <c r="F83" s="32"/>
      <c r="G83" s="81">
        <f>SUM(G78:G82)</f>
        <v>60325.970000000008</v>
      </c>
      <c r="H83" s="32"/>
      <c r="I83" s="81">
        <f>SUM(I78:I82)</f>
        <v>52302.28</v>
      </c>
      <c r="J83" s="32"/>
      <c r="K83" s="81">
        <f>SUM(K78:K82)</f>
        <v>81022.83</v>
      </c>
      <c r="L83" s="32"/>
      <c r="M83" s="79">
        <f>SUM(C83+E83+G83+I83+K83)</f>
        <v>322721.94</v>
      </c>
    </row>
    <row r="84" spans="1:13" ht="15.75" x14ac:dyDescent="0.3">
      <c r="A84" s="135" t="s">
        <v>113</v>
      </c>
      <c r="B84" s="9"/>
      <c r="C84" s="1"/>
      <c r="E84" s="34"/>
      <c r="G84" s="34"/>
      <c r="I84" s="34"/>
      <c r="K84" s="60"/>
      <c r="M84" s="76"/>
    </row>
    <row r="85" spans="1:13" ht="15.75" x14ac:dyDescent="0.3">
      <c r="A85" s="128" t="s">
        <v>114</v>
      </c>
      <c r="B85" s="9"/>
      <c r="C85" s="1">
        <v>0</v>
      </c>
      <c r="E85" s="34">
        <f>507.35</f>
        <v>507.35</v>
      </c>
      <c r="G85" s="34">
        <v>0</v>
      </c>
      <c r="I85" s="34">
        <f>523.8</f>
        <v>523.79999999999995</v>
      </c>
      <c r="K85" s="60">
        <v>0</v>
      </c>
      <c r="M85" s="11">
        <f>SUM(C85+E85+G85+I85+K85)</f>
        <v>1031.1500000000001</v>
      </c>
    </row>
    <row r="86" spans="1:13" ht="15.75" x14ac:dyDescent="0.3">
      <c r="A86" s="128" t="s">
        <v>116</v>
      </c>
      <c r="B86" s="9"/>
      <c r="C86" s="1">
        <v>0</v>
      </c>
      <c r="E86" s="34">
        <v>0</v>
      </c>
      <c r="G86" s="34">
        <f>1715</f>
        <v>1715</v>
      </c>
      <c r="I86" s="34">
        <f>3430</f>
        <v>3430</v>
      </c>
      <c r="K86" s="60">
        <v>0</v>
      </c>
      <c r="M86" s="11">
        <f t="shared" ref="M86:M89" si="5">SUM(C86+E86+G86+I86+K86)</f>
        <v>5145</v>
      </c>
    </row>
    <row r="87" spans="1:13" ht="15.75" x14ac:dyDescent="0.3">
      <c r="A87" s="128" t="s">
        <v>117</v>
      </c>
      <c r="B87" s="9"/>
      <c r="C87" s="1">
        <v>0</v>
      </c>
      <c r="E87" s="34">
        <v>0</v>
      </c>
      <c r="G87" s="34">
        <f>1701.17</f>
        <v>1701.17</v>
      </c>
      <c r="I87" s="34">
        <f>3402.34</f>
        <v>3402.34</v>
      </c>
      <c r="K87" s="60">
        <v>0</v>
      </c>
      <c r="M87" s="11">
        <f t="shared" si="5"/>
        <v>5103.51</v>
      </c>
    </row>
    <row r="88" spans="1:13" ht="15.75" x14ac:dyDescent="0.3">
      <c r="A88" s="128" t="s">
        <v>115</v>
      </c>
      <c r="B88" s="9"/>
      <c r="C88" s="1">
        <f>1079.4+350</f>
        <v>1429.4</v>
      </c>
      <c r="E88" s="34">
        <f>150+350</f>
        <v>500</v>
      </c>
      <c r="G88" s="34">
        <f>515</f>
        <v>515</v>
      </c>
      <c r="I88" s="34">
        <f>350+330</f>
        <v>680</v>
      </c>
      <c r="K88" s="60">
        <f>180+350</f>
        <v>530</v>
      </c>
      <c r="M88" s="11">
        <f t="shared" si="5"/>
        <v>3654.4</v>
      </c>
    </row>
    <row r="89" spans="1:13" ht="15.75" x14ac:dyDescent="0.3">
      <c r="A89" s="128" t="s">
        <v>197</v>
      </c>
      <c r="B89" s="9"/>
      <c r="C89" s="1">
        <v>0</v>
      </c>
      <c r="E89" s="34">
        <f>700</f>
        <v>700</v>
      </c>
      <c r="G89" s="34">
        <v>0</v>
      </c>
      <c r="I89" s="34">
        <v>0</v>
      </c>
      <c r="K89" s="60">
        <v>0</v>
      </c>
      <c r="M89" s="11">
        <f t="shared" si="5"/>
        <v>700</v>
      </c>
    </row>
    <row r="90" spans="1:13" ht="15.75" x14ac:dyDescent="0.3">
      <c r="A90" s="134" t="s">
        <v>32</v>
      </c>
      <c r="B90" s="32"/>
      <c r="C90" s="81">
        <f>SUM(C85:C89)</f>
        <v>1429.4</v>
      </c>
      <c r="D90" s="32"/>
      <c r="E90" s="81">
        <f>SUM(E85:E89)</f>
        <v>1707.35</v>
      </c>
      <c r="F90" s="32"/>
      <c r="G90" s="81">
        <f>SUM(G85:G89)</f>
        <v>3931.17</v>
      </c>
      <c r="H90" s="32"/>
      <c r="I90" s="81">
        <f>SUM(I85:I89)</f>
        <v>8036.14</v>
      </c>
      <c r="J90" s="32"/>
      <c r="K90" s="81">
        <f>SUM(K85:K89)</f>
        <v>530</v>
      </c>
      <c r="L90" s="32"/>
      <c r="M90" s="79">
        <f>SUM(C90+E90+G90+I90+K90)</f>
        <v>15634.060000000001</v>
      </c>
    </row>
    <row r="91" spans="1:13" ht="15.75" x14ac:dyDescent="0.3">
      <c r="A91" s="127" t="s">
        <v>88</v>
      </c>
      <c r="B91" s="9"/>
      <c r="C91" s="1"/>
      <c r="E91" s="34"/>
      <c r="G91" s="34"/>
      <c r="I91" s="34"/>
      <c r="K91" s="60"/>
      <c r="M91" s="76"/>
    </row>
    <row r="92" spans="1:13" ht="15.75" x14ac:dyDescent="0.3">
      <c r="A92" s="128" t="s">
        <v>82</v>
      </c>
      <c r="B92" s="9"/>
      <c r="C92" s="1">
        <f>676.38</f>
        <v>676.38</v>
      </c>
      <c r="E92" s="34">
        <f>729.74+44</f>
        <v>773.74</v>
      </c>
      <c r="G92" s="34">
        <f>869.81</f>
        <v>869.81</v>
      </c>
      <c r="I92" s="34">
        <f>623.02</f>
        <v>623.02</v>
      </c>
      <c r="K92" s="60">
        <f>839.79</f>
        <v>839.79</v>
      </c>
      <c r="M92" s="11">
        <f>SUM(C92+E92+G92+I92+K92)</f>
        <v>3782.74</v>
      </c>
    </row>
    <row r="93" spans="1:13" ht="15.75" x14ac:dyDescent="0.3">
      <c r="A93" s="128" t="s">
        <v>1</v>
      </c>
      <c r="B93" s="9"/>
      <c r="C93" s="1">
        <f>3489.48</f>
        <v>3489.48</v>
      </c>
      <c r="E93" s="34">
        <f>5471.93+253.24+211.2+3595.82+4182.33</f>
        <v>13714.52</v>
      </c>
      <c r="G93" s="34">
        <f>4857.83</f>
        <v>4857.83</v>
      </c>
      <c r="I93" s="34">
        <f>276.7+202.9+180.38+4675.84</f>
        <v>5335.82</v>
      </c>
      <c r="K93" s="60">
        <v>0</v>
      </c>
      <c r="M93" s="11">
        <f t="shared" ref="M93:M125" si="6">SUM(C93+E93+G93+I93+K93)</f>
        <v>27397.65</v>
      </c>
    </row>
    <row r="94" spans="1:13" ht="15.75" x14ac:dyDescent="0.3">
      <c r="A94" s="128" t="s">
        <v>81</v>
      </c>
      <c r="B94" s="9"/>
      <c r="C94" s="1">
        <v>0</v>
      </c>
      <c r="E94" s="34">
        <f>150.03+70.01+89.94+599.93+249.96+50</f>
        <v>1209.8699999999999</v>
      </c>
      <c r="G94" s="34">
        <f>69.98+169.95+150.09</f>
        <v>390.02</v>
      </c>
      <c r="I94" s="34">
        <f>782.92+109.94+1012.88</f>
        <v>1905.7399999999998</v>
      </c>
      <c r="K94" s="60">
        <v>0</v>
      </c>
      <c r="M94" s="11">
        <f t="shared" si="6"/>
        <v>3505.6299999999997</v>
      </c>
    </row>
    <row r="95" spans="1:13" ht="15.75" x14ac:dyDescent="0.3">
      <c r="A95" s="128" t="s">
        <v>89</v>
      </c>
      <c r="B95" s="9"/>
      <c r="C95" s="1">
        <f>846.84+442.86</f>
        <v>1289.7</v>
      </c>
      <c r="E95" s="34">
        <f>59.8+390.94+1158.42</f>
        <v>1609.16</v>
      </c>
      <c r="G95" s="34">
        <f>1548.83+377.36</f>
        <v>1926.19</v>
      </c>
      <c r="I95" s="34">
        <f>391.63+990.2</f>
        <v>1381.83</v>
      </c>
      <c r="K95" s="60">
        <f>874.32+498.28+1010.21+412.71</f>
        <v>2795.52</v>
      </c>
      <c r="M95" s="11">
        <f t="shared" si="6"/>
        <v>9002.4</v>
      </c>
    </row>
    <row r="96" spans="1:13" ht="15.75" x14ac:dyDescent="0.3">
      <c r="A96" s="128" t="s">
        <v>90</v>
      </c>
      <c r="B96" s="9"/>
      <c r="C96" s="1">
        <f>75+140.5+3.2+19.4+7.7</f>
        <v>245.79999999999998</v>
      </c>
      <c r="E96" s="34">
        <f>60.95+44.5+8.2+7.65</f>
        <v>121.30000000000001</v>
      </c>
      <c r="G96" s="34">
        <f>8.2</f>
        <v>8.1999999999999993</v>
      </c>
      <c r="I96" s="34">
        <f>19.81</f>
        <v>19.809999999999999</v>
      </c>
      <c r="K96" s="60">
        <v>0</v>
      </c>
      <c r="M96" s="11">
        <f t="shared" si="6"/>
        <v>395.11</v>
      </c>
    </row>
    <row r="97" spans="1:13" ht="15.75" x14ac:dyDescent="0.3">
      <c r="A97" s="128" t="s">
        <v>91</v>
      </c>
      <c r="B97" s="9"/>
      <c r="C97" s="1">
        <v>0</v>
      </c>
      <c r="E97" s="34">
        <f>618.9</f>
        <v>618.9</v>
      </c>
      <c r="G97" s="34">
        <f>1250.8</f>
        <v>1250.8</v>
      </c>
      <c r="I97" s="34">
        <f>904.67</f>
        <v>904.67</v>
      </c>
      <c r="K97" s="60">
        <v>0</v>
      </c>
      <c r="M97" s="11">
        <f t="shared" si="6"/>
        <v>2774.37</v>
      </c>
    </row>
    <row r="98" spans="1:13" ht="15.75" x14ac:dyDescent="0.3">
      <c r="A98" s="128" t="s">
        <v>92</v>
      </c>
      <c r="B98" s="9"/>
      <c r="C98" s="1">
        <v>0</v>
      </c>
      <c r="E98" s="34">
        <f>4277.25</f>
        <v>4277.25</v>
      </c>
      <c r="G98" s="34">
        <f>933.22</f>
        <v>933.22</v>
      </c>
      <c r="I98" s="34">
        <f>1866.44</f>
        <v>1866.44</v>
      </c>
      <c r="K98" s="60">
        <v>0</v>
      </c>
      <c r="M98" s="11">
        <f t="shared" si="6"/>
        <v>7076.91</v>
      </c>
    </row>
    <row r="99" spans="1:13" ht="15.75" x14ac:dyDescent="0.3">
      <c r="A99" s="128" t="s">
        <v>93</v>
      </c>
      <c r="B99" s="9"/>
      <c r="C99" s="1">
        <v>0</v>
      </c>
      <c r="E99" s="34">
        <v>0</v>
      </c>
      <c r="G99" s="34">
        <v>0</v>
      </c>
      <c r="I99" s="34">
        <v>0</v>
      </c>
      <c r="K99" s="60">
        <v>0</v>
      </c>
      <c r="M99" s="11">
        <f t="shared" si="6"/>
        <v>0</v>
      </c>
    </row>
    <row r="100" spans="1:13" ht="16.5" x14ac:dyDescent="0.3">
      <c r="A100" s="106" t="s">
        <v>201</v>
      </c>
      <c r="B100" s="9"/>
      <c r="C100" s="1">
        <f>40+50</f>
        <v>90</v>
      </c>
      <c r="E100" s="34">
        <v>0</v>
      </c>
      <c r="G100" s="34">
        <v>0</v>
      </c>
      <c r="I100" s="34">
        <f>40+40+40</f>
        <v>120</v>
      </c>
      <c r="K100" s="60">
        <v>0</v>
      </c>
      <c r="M100" s="11">
        <f t="shared" si="6"/>
        <v>210</v>
      </c>
    </row>
    <row r="101" spans="1:13" ht="15.75" x14ac:dyDescent="0.3">
      <c r="A101" s="128" t="s">
        <v>94</v>
      </c>
      <c r="B101" s="9"/>
      <c r="C101" s="1">
        <v>0</v>
      </c>
      <c r="E101" s="34">
        <f>30+91.6+1909.2</f>
        <v>2030.8</v>
      </c>
      <c r="G101" s="34">
        <v>0</v>
      </c>
      <c r="I101" s="34">
        <f>313.65</f>
        <v>313.64999999999998</v>
      </c>
      <c r="K101" s="60">
        <v>0</v>
      </c>
      <c r="M101" s="11">
        <f t="shared" si="6"/>
        <v>2344.4499999999998</v>
      </c>
    </row>
    <row r="102" spans="1:13" ht="15.75" x14ac:dyDescent="0.3">
      <c r="A102" s="128" t="s">
        <v>95</v>
      </c>
      <c r="B102" s="9"/>
      <c r="C102" s="1">
        <v>0</v>
      </c>
      <c r="E102" s="34">
        <f>1739.5+990</f>
        <v>2729.5</v>
      </c>
      <c r="G102" s="34">
        <f>150+330</f>
        <v>480</v>
      </c>
      <c r="I102" s="34">
        <v>0</v>
      </c>
      <c r="K102" s="60">
        <v>0</v>
      </c>
      <c r="M102" s="11">
        <f t="shared" si="6"/>
        <v>3209.5</v>
      </c>
    </row>
    <row r="103" spans="1:13" ht="15.75" x14ac:dyDescent="0.3">
      <c r="A103" s="128" t="s">
        <v>96</v>
      </c>
      <c r="B103" s="9"/>
      <c r="C103" s="1">
        <v>0</v>
      </c>
      <c r="E103" s="34"/>
      <c r="G103" s="34">
        <v>0</v>
      </c>
      <c r="I103" s="34">
        <v>0</v>
      </c>
      <c r="K103" s="60">
        <v>0</v>
      </c>
      <c r="M103" s="11">
        <f t="shared" si="6"/>
        <v>0</v>
      </c>
    </row>
    <row r="104" spans="1:13" ht="15.75" x14ac:dyDescent="0.3">
      <c r="A104" s="128" t="s">
        <v>97</v>
      </c>
      <c r="B104" s="9"/>
      <c r="C104" s="1">
        <v>0</v>
      </c>
      <c r="E104" s="34">
        <f>16+42.5+14.9+14.9+26.19</f>
        <v>114.49000000000001</v>
      </c>
      <c r="G104" s="34">
        <f>89</f>
        <v>89</v>
      </c>
      <c r="I104" s="34">
        <f>83</f>
        <v>83</v>
      </c>
      <c r="K104" s="60">
        <v>0</v>
      </c>
      <c r="M104" s="11">
        <f t="shared" si="6"/>
        <v>286.49</v>
      </c>
    </row>
    <row r="105" spans="1:13" ht="15.75" x14ac:dyDescent="0.3">
      <c r="A105" s="128" t="s">
        <v>98</v>
      </c>
      <c r="B105" s="9"/>
      <c r="C105" s="1">
        <v>0</v>
      </c>
      <c r="E105" s="34">
        <f>2916.7</f>
        <v>2916.7</v>
      </c>
      <c r="G105" s="34">
        <f>603</f>
        <v>603</v>
      </c>
      <c r="I105" s="34">
        <f>120+1276.44</f>
        <v>1396.44</v>
      </c>
      <c r="K105" s="60">
        <v>0</v>
      </c>
      <c r="M105" s="11">
        <f t="shared" si="6"/>
        <v>4916.1399999999994</v>
      </c>
    </row>
    <row r="106" spans="1:13" ht="15.75" x14ac:dyDescent="0.3">
      <c r="A106" s="128" t="s">
        <v>99</v>
      </c>
      <c r="B106" s="9"/>
      <c r="C106" s="1">
        <v>0</v>
      </c>
      <c r="E106" s="34">
        <v>0</v>
      </c>
      <c r="G106" s="34">
        <v>0</v>
      </c>
      <c r="I106" s="34">
        <v>0</v>
      </c>
      <c r="K106" s="60">
        <v>0</v>
      </c>
      <c r="M106" s="11">
        <f t="shared" si="6"/>
        <v>0</v>
      </c>
    </row>
    <row r="107" spans="1:13" ht="15.75" x14ac:dyDescent="0.3">
      <c r="A107" s="128" t="s">
        <v>183</v>
      </c>
      <c r="B107" s="9"/>
      <c r="C107" s="1">
        <v>0</v>
      </c>
      <c r="E107" s="34">
        <v>0</v>
      </c>
      <c r="G107" s="34">
        <f>2511.29</f>
        <v>2511.29</v>
      </c>
      <c r="I107" s="34">
        <f>1607.25</f>
        <v>1607.25</v>
      </c>
      <c r="K107" s="60">
        <v>0</v>
      </c>
      <c r="M107" s="11">
        <f t="shared" si="6"/>
        <v>4118.54</v>
      </c>
    </row>
    <row r="108" spans="1:13" ht="16.5" x14ac:dyDescent="0.3">
      <c r="A108" s="106" t="s">
        <v>196</v>
      </c>
      <c r="B108" s="9"/>
      <c r="C108" s="1">
        <v>0</v>
      </c>
      <c r="E108" s="34">
        <f>2191.14</f>
        <v>2191.14</v>
      </c>
      <c r="G108" s="34">
        <f>378.98</f>
        <v>378.98</v>
      </c>
      <c r="I108" s="34">
        <f>971.67</f>
        <v>971.67</v>
      </c>
      <c r="K108" s="60">
        <v>0</v>
      </c>
      <c r="M108" s="11">
        <f t="shared" si="6"/>
        <v>3541.79</v>
      </c>
    </row>
    <row r="109" spans="1:13" ht="15.75" x14ac:dyDescent="0.3">
      <c r="A109" s="128" t="s">
        <v>100</v>
      </c>
      <c r="B109" s="9"/>
      <c r="C109" s="1">
        <f>773+240+621.3</f>
        <v>1634.3</v>
      </c>
      <c r="E109" s="34">
        <f>132.57</f>
        <v>132.57</v>
      </c>
      <c r="G109" s="34">
        <v>0</v>
      </c>
      <c r="I109" s="34">
        <f>66.7</f>
        <v>66.7</v>
      </c>
      <c r="K109" s="60">
        <f>409</f>
        <v>409</v>
      </c>
      <c r="M109" s="11">
        <f t="shared" si="6"/>
        <v>2242.5699999999997</v>
      </c>
    </row>
    <row r="110" spans="1:13" ht="15.75" x14ac:dyDescent="0.3">
      <c r="A110" s="128" t="s">
        <v>101</v>
      </c>
      <c r="B110" s="9"/>
      <c r="C110" s="1">
        <f>600</f>
        <v>600</v>
      </c>
      <c r="E110" s="34">
        <f>621+600</f>
        <v>1221</v>
      </c>
      <c r="G110" s="34">
        <f>1221</f>
        <v>1221</v>
      </c>
      <c r="I110" s="34">
        <f>621</f>
        <v>621</v>
      </c>
      <c r="K110" s="60">
        <f>621</f>
        <v>621</v>
      </c>
      <c r="M110" s="11">
        <f t="shared" si="6"/>
        <v>4284</v>
      </c>
    </row>
    <row r="111" spans="1:13" ht="15.75" x14ac:dyDescent="0.3">
      <c r="A111" s="128" t="s">
        <v>102</v>
      </c>
      <c r="B111" s="9"/>
      <c r="C111" s="1">
        <v>0</v>
      </c>
      <c r="E111" s="34">
        <v>0</v>
      </c>
      <c r="G111" s="34">
        <v>0</v>
      </c>
      <c r="I111" s="34">
        <v>0</v>
      </c>
      <c r="K111" s="60">
        <v>0</v>
      </c>
      <c r="M111" s="11">
        <f t="shared" si="6"/>
        <v>0</v>
      </c>
    </row>
    <row r="112" spans="1:13" ht="15.75" x14ac:dyDescent="0.3">
      <c r="A112" s="128" t="s">
        <v>103</v>
      </c>
      <c r="B112" s="9"/>
      <c r="C112" s="1">
        <v>0</v>
      </c>
      <c r="E112" s="34">
        <v>0</v>
      </c>
      <c r="G112" s="34">
        <v>0</v>
      </c>
      <c r="I112" s="34">
        <f>1178.32</f>
        <v>1178.32</v>
      </c>
      <c r="K112" s="60">
        <f>1150+30.6</f>
        <v>1180.5999999999999</v>
      </c>
      <c r="M112" s="11">
        <f t="shared" si="6"/>
        <v>2358.92</v>
      </c>
    </row>
    <row r="113" spans="1:13" ht="15.75" x14ac:dyDescent="0.3">
      <c r="A113" s="128" t="s">
        <v>182</v>
      </c>
      <c r="B113" s="9"/>
      <c r="C113" s="1">
        <f>625+460</f>
        <v>1085</v>
      </c>
      <c r="E113" s="34">
        <f>458.5+625</f>
        <v>1083.5</v>
      </c>
      <c r="G113" s="34">
        <f>458.5+625</f>
        <v>1083.5</v>
      </c>
      <c r="I113" s="34">
        <f>458.5+625</f>
        <v>1083.5</v>
      </c>
      <c r="K113" s="60">
        <v>0</v>
      </c>
      <c r="M113" s="11">
        <f t="shared" si="6"/>
        <v>4335.5</v>
      </c>
    </row>
    <row r="114" spans="1:13" ht="15.75" x14ac:dyDescent="0.3">
      <c r="A114" s="128" t="s">
        <v>104</v>
      </c>
      <c r="B114" s="9"/>
      <c r="C114" s="1">
        <v>0</v>
      </c>
      <c r="E114" s="34">
        <v>0</v>
      </c>
      <c r="G114" s="34">
        <v>0</v>
      </c>
      <c r="I114" s="34">
        <v>0</v>
      </c>
      <c r="K114" s="60">
        <v>0</v>
      </c>
      <c r="M114" s="11">
        <f t="shared" si="6"/>
        <v>0</v>
      </c>
    </row>
    <row r="115" spans="1:13" ht="15.75" x14ac:dyDescent="0.3">
      <c r="A115" s="128" t="s">
        <v>105</v>
      </c>
      <c r="B115" s="9"/>
      <c r="C115" s="1">
        <v>0</v>
      </c>
      <c r="E115" s="34">
        <v>0</v>
      </c>
      <c r="G115" s="34">
        <v>0</v>
      </c>
      <c r="I115" s="34">
        <v>0</v>
      </c>
      <c r="K115" s="60">
        <f>330</f>
        <v>330</v>
      </c>
      <c r="M115" s="11">
        <f t="shared" si="6"/>
        <v>330</v>
      </c>
    </row>
    <row r="116" spans="1:13" ht="15.75" x14ac:dyDescent="0.3">
      <c r="A116" s="128" t="s">
        <v>83</v>
      </c>
      <c r="B116" s="9"/>
      <c r="C116" s="1">
        <v>0</v>
      </c>
      <c r="E116" s="34">
        <v>0</v>
      </c>
      <c r="G116" s="34">
        <v>0</v>
      </c>
      <c r="I116" s="34">
        <v>0</v>
      </c>
      <c r="K116" s="60">
        <v>0</v>
      </c>
      <c r="M116" s="11">
        <f t="shared" si="6"/>
        <v>0</v>
      </c>
    </row>
    <row r="117" spans="1:13" ht="15.75" x14ac:dyDescent="0.3">
      <c r="A117" s="130" t="s">
        <v>67</v>
      </c>
      <c r="B117" s="9"/>
      <c r="C117" s="1">
        <v>0</v>
      </c>
      <c r="E117" s="34">
        <f>924</f>
        <v>924</v>
      </c>
      <c r="G117" s="34">
        <v>0</v>
      </c>
      <c r="I117" s="34">
        <v>0</v>
      </c>
      <c r="K117" s="60">
        <v>0</v>
      </c>
      <c r="M117" s="11">
        <f t="shared" si="6"/>
        <v>924</v>
      </c>
    </row>
    <row r="118" spans="1:13" ht="15.75" x14ac:dyDescent="0.3">
      <c r="A118" s="128" t="s">
        <v>61</v>
      </c>
      <c r="B118" s="9"/>
      <c r="C118" s="1">
        <v>0</v>
      </c>
      <c r="E118" s="34">
        <v>0</v>
      </c>
      <c r="G118" s="34">
        <v>0</v>
      </c>
      <c r="I118" s="34">
        <v>0</v>
      </c>
      <c r="K118" s="60">
        <v>0</v>
      </c>
      <c r="M118" s="11">
        <f t="shared" si="6"/>
        <v>0</v>
      </c>
    </row>
    <row r="119" spans="1:13" ht="15.75" x14ac:dyDescent="0.3">
      <c r="A119" s="130" t="s">
        <v>72</v>
      </c>
      <c r="B119" s="9"/>
      <c r="C119" s="1">
        <v>0</v>
      </c>
      <c r="E119" s="34">
        <v>0</v>
      </c>
      <c r="G119" s="34">
        <v>0</v>
      </c>
      <c r="I119" s="34">
        <v>0</v>
      </c>
      <c r="K119" s="60">
        <v>0</v>
      </c>
      <c r="M119" s="11">
        <f t="shared" si="6"/>
        <v>0</v>
      </c>
    </row>
    <row r="120" spans="1:13" ht="15.75" x14ac:dyDescent="0.3">
      <c r="A120" s="128" t="s">
        <v>73</v>
      </c>
      <c r="B120" s="9"/>
      <c r="C120" s="1">
        <v>0</v>
      </c>
      <c r="E120" s="34">
        <v>0</v>
      </c>
      <c r="G120" s="34">
        <v>0</v>
      </c>
      <c r="I120" s="34">
        <v>0</v>
      </c>
      <c r="K120" s="60">
        <v>0</v>
      </c>
      <c r="M120" s="11">
        <f t="shared" si="6"/>
        <v>0</v>
      </c>
    </row>
    <row r="121" spans="1:13" ht="15.75" x14ac:dyDescent="0.3">
      <c r="A121" s="128" t="s">
        <v>74</v>
      </c>
      <c r="B121" s="9"/>
      <c r="C121" s="1">
        <v>0</v>
      </c>
      <c r="E121" s="34">
        <v>0</v>
      </c>
      <c r="G121" s="34">
        <v>0</v>
      </c>
      <c r="I121" s="34">
        <v>0</v>
      </c>
      <c r="K121" s="60">
        <v>0</v>
      </c>
      <c r="M121" s="11">
        <f t="shared" si="6"/>
        <v>0</v>
      </c>
    </row>
    <row r="122" spans="1:13" ht="15.75" x14ac:dyDescent="0.3">
      <c r="A122" s="130" t="s">
        <v>75</v>
      </c>
      <c r="B122" s="9"/>
      <c r="C122" s="1">
        <v>0</v>
      </c>
      <c r="E122" s="34">
        <v>0</v>
      </c>
      <c r="G122" s="34">
        <v>0</v>
      </c>
      <c r="I122" s="34">
        <v>0</v>
      </c>
      <c r="K122" s="60">
        <v>0</v>
      </c>
      <c r="M122" s="11">
        <f t="shared" si="6"/>
        <v>0</v>
      </c>
    </row>
    <row r="123" spans="1:13" ht="15.75" x14ac:dyDescent="0.3">
      <c r="A123" s="130" t="s">
        <v>119</v>
      </c>
      <c r="B123" s="9"/>
      <c r="C123" s="1">
        <v>0</v>
      </c>
      <c r="E123" s="34">
        <f>4515.32</f>
        <v>4515.32</v>
      </c>
      <c r="G123" s="34">
        <v>0</v>
      </c>
      <c r="I123" s="34">
        <v>0</v>
      </c>
      <c r="K123" s="60">
        <f>1969.94+9989.64</f>
        <v>11959.58</v>
      </c>
      <c r="M123" s="11">
        <f t="shared" si="6"/>
        <v>16474.900000000001</v>
      </c>
    </row>
    <row r="124" spans="1:13" ht="15.75" x14ac:dyDescent="0.3">
      <c r="A124" s="130" t="s">
        <v>195</v>
      </c>
      <c r="B124" s="9"/>
      <c r="C124" s="1">
        <v>0</v>
      </c>
      <c r="E124" s="34">
        <f>1727.95</f>
        <v>1727.95</v>
      </c>
      <c r="G124" s="34">
        <f>1176.43</f>
        <v>1176.43</v>
      </c>
      <c r="I124" s="34">
        <f>1249.61</f>
        <v>1249.6099999999999</v>
      </c>
      <c r="K124" s="60">
        <f>1246.7</f>
        <v>1246.7</v>
      </c>
      <c r="M124" s="11">
        <f t="shared" si="6"/>
        <v>5400.69</v>
      </c>
    </row>
    <row r="125" spans="1:13" ht="15.75" x14ac:dyDescent="0.3">
      <c r="A125" s="128" t="s">
        <v>63</v>
      </c>
      <c r="B125" s="9"/>
      <c r="C125" s="1">
        <f>368.32+366.76+258.54+668.43+504.73+311.87+1000.25+153.69</f>
        <v>3632.5899999999997</v>
      </c>
      <c r="E125" s="34">
        <f>362.15+362.15+368.32+366.76+258.54+504.73+1000.25</f>
        <v>3222.8999999999996</v>
      </c>
      <c r="G125" s="34">
        <f>1000.25+366.76+258.54+668.43+635.01+362.15+153.69</f>
        <v>3444.83</v>
      </c>
      <c r="I125" s="34">
        <f>368.32+362.15+153.69+504.73+701.85</f>
        <v>2090.7400000000002</v>
      </c>
      <c r="K125" s="60">
        <f>668.43+311.87+362.15+1000.25+1000.25</f>
        <v>3342.95</v>
      </c>
      <c r="M125" s="11">
        <f t="shared" si="6"/>
        <v>15734.009999999998</v>
      </c>
    </row>
    <row r="126" spans="1:13" ht="15.75" x14ac:dyDescent="0.3">
      <c r="A126" s="134" t="s">
        <v>32</v>
      </c>
      <c r="B126" s="32"/>
      <c r="C126" s="81">
        <f>SUM(C92:C125)</f>
        <v>12743.25</v>
      </c>
      <c r="D126" s="32"/>
      <c r="E126" s="81">
        <f>SUM(E92:E125)</f>
        <v>45134.61</v>
      </c>
      <c r="F126" s="32"/>
      <c r="G126" s="81">
        <f>SUM(G92:G125)</f>
        <v>21224.1</v>
      </c>
      <c r="H126" s="32"/>
      <c r="I126" s="81">
        <f>SUM(I92:I125)</f>
        <v>22819.210000000003</v>
      </c>
      <c r="J126" s="32"/>
      <c r="K126" s="81">
        <f>SUM(K92:K125)</f>
        <v>22725.14</v>
      </c>
      <c r="L126" s="32"/>
      <c r="M126" s="79">
        <f>SUM(C126+E126+G126+I126+K126)</f>
        <v>124646.31</v>
      </c>
    </row>
    <row r="127" spans="1:13" ht="15.75" x14ac:dyDescent="0.3">
      <c r="A127" s="127" t="s">
        <v>76</v>
      </c>
      <c r="B127" s="9"/>
      <c r="C127" s="1"/>
      <c r="E127" s="34"/>
      <c r="G127" s="34"/>
      <c r="I127" s="34"/>
      <c r="K127" s="60"/>
      <c r="M127" s="76"/>
    </row>
    <row r="128" spans="1:13" ht="15.75" x14ac:dyDescent="0.3">
      <c r="A128" s="130" t="s">
        <v>123</v>
      </c>
      <c r="B128" s="9"/>
      <c r="C128" s="1">
        <v>0</v>
      </c>
      <c r="E128" s="34">
        <f>1594.59</f>
        <v>1594.59</v>
      </c>
      <c r="G128" s="34">
        <f>1205.67</f>
        <v>1205.67</v>
      </c>
      <c r="I128" s="34">
        <f>293.43</f>
        <v>293.43</v>
      </c>
      <c r="K128" s="60">
        <f>242.72</f>
        <v>242.72</v>
      </c>
      <c r="M128" s="11">
        <f>SUM(C128+E128+G128+I128+K128)</f>
        <v>3336.41</v>
      </c>
    </row>
    <row r="129" spans="1:13" ht="15.75" x14ac:dyDescent="0.3">
      <c r="A129" s="130" t="s">
        <v>124</v>
      </c>
      <c r="B129" s="9"/>
      <c r="C129" s="1">
        <v>0</v>
      </c>
      <c r="E129" s="34">
        <f>1413.35+336.74+140.48+268.91+5369.03+403.67+172.24+900.67+136.47+147.85+72.7+30.35+97.45+153.26</f>
        <v>9643.1700000000019</v>
      </c>
      <c r="G129" s="34">
        <f>173.81+1060.79+81.84+751.64+97.59+79.09+61.47+120.51+59.22+109.86+292.38+19.05+20.24+112.69+20.24+74.51+14.3</f>
        <v>3149.2300000000005</v>
      </c>
      <c r="I129" s="34">
        <f>932+219.38+138.85+752.88</f>
        <v>2043.1100000000001</v>
      </c>
      <c r="K129" s="60">
        <f>740+22.6+667.6+71.48+113.15+129.82+45.53+75.52+5.94+80.79+50.8+250.74+100.95+783.5+1386.92+185.97+305.66+762.6</f>
        <v>5779.5700000000006</v>
      </c>
      <c r="M129" s="11">
        <f t="shared" ref="M129:M132" si="7">SUM(C129+E129+G129+I129+K129)</f>
        <v>20615.080000000002</v>
      </c>
    </row>
    <row r="130" spans="1:13" ht="15.75" x14ac:dyDescent="0.3">
      <c r="A130" s="130" t="s">
        <v>128</v>
      </c>
      <c r="B130" s="9"/>
      <c r="C130" s="1">
        <f>354.26</f>
        <v>354.26</v>
      </c>
      <c r="E130" s="34">
        <v>0</v>
      </c>
      <c r="G130" s="34">
        <f>736.17</f>
        <v>736.17</v>
      </c>
      <c r="I130" s="34">
        <f>608.83</f>
        <v>608.83000000000004</v>
      </c>
      <c r="K130" s="60">
        <f>534.21</f>
        <v>534.21</v>
      </c>
      <c r="M130" s="11">
        <f t="shared" si="7"/>
        <v>2233.4699999999998</v>
      </c>
    </row>
    <row r="131" spans="1:13" ht="15.75" x14ac:dyDescent="0.3">
      <c r="A131" s="130" t="s">
        <v>125</v>
      </c>
      <c r="B131" s="9"/>
      <c r="C131" s="1">
        <v>0</v>
      </c>
      <c r="E131" s="34">
        <f>46.68+22.9+21.06+4.95</f>
        <v>95.59</v>
      </c>
      <c r="G131" s="34">
        <f>4.95+24.75+4.95+34.39+13.67</f>
        <v>82.71</v>
      </c>
      <c r="I131" s="34">
        <v>0</v>
      </c>
      <c r="K131" s="60">
        <f>4.95+305.66</f>
        <v>310.61</v>
      </c>
      <c r="M131" s="11">
        <f t="shared" si="7"/>
        <v>488.91</v>
      </c>
    </row>
    <row r="132" spans="1:13" ht="15.75" x14ac:dyDescent="0.3">
      <c r="A132" s="130" t="s">
        <v>126</v>
      </c>
      <c r="B132" s="9"/>
      <c r="C132" s="1">
        <v>0</v>
      </c>
      <c r="E132" s="34">
        <f>5.73+69+91.98+116.73+161.2+10.12+2.43</f>
        <v>457.19</v>
      </c>
      <c r="G132" s="34">
        <f>103.27+7.69</f>
        <v>110.96</v>
      </c>
      <c r="I132" s="34">
        <f>17.7+15+4.5</f>
        <v>37.200000000000003</v>
      </c>
      <c r="K132" s="60">
        <f>97.79+24.31+131.8</f>
        <v>253.90000000000003</v>
      </c>
      <c r="M132" s="11">
        <f t="shared" si="7"/>
        <v>859.25</v>
      </c>
    </row>
    <row r="133" spans="1:13" ht="15.75" x14ac:dyDescent="0.3">
      <c r="A133" s="134" t="s">
        <v>32</v>
      </c>
      <c r="B133" s="32"/>
      <c r="C133" s="81">
        <f>SUM(C128:C132)</f>
        <v>354.26</v>
      </c>
      <c r="D133" s="32"/>
      <c r="E133" s="81">
        <f>SUM(E128:E132)</f>
        <v>11790.540000000003</v>
      </c>
      <c r="F133" s="32"/>
      <c r="G133" s="81">
        <f>SUM(G128:G132)</f>
        <v>5284.7400000000007</v>
      </c>
      <c r="H133" s="32"/>
      <c r="I133" s="81">
        <f>SUM(I128:I132)</f>
        <v>2982.5699999999997</v>
      </c>
      <c r="J133" s="32"/>
      <c r="K133" s="81">
        <f>SUM(K128:K132)</f>
        <v>7121.01</v>
      </c>
      <c r="L133" s="32"/>
      <c r="M133" s="79">
        <f>SUM(C133+E133+G133+I133+K133)</f>
        <v>27533.120000000003</v>
      </c>
    </row>
    <row r="134" spans="1:13" ht="15.75" x14ac:dyDescent="0.3">
      <c r="A134" s="127" t="s">
        <v>152</v>
      </c>
      <c r="B134" s="9"/>
      <c r="C134" s="14"/>
      <c r="E134" s="69"/>
      <c r="G134" s="69"/>
      <c r="I134" s="69"/>
      <c r="K134" s="60"/>
      <c r="M134" s="76"/>
    </row>
    <row r="135" spans="1:13" ht="15.75" x14ac:dyDescent="0.3">
      <c r="A135" s="130" t="s">
        <v>140</v>
      </c>
      <c r="B135" s="9"/>
      <c r="C135" s="1">
        <f>1570.15+1384.78</f>
        <v>2954.9300000000003</v>
      </c>
      <c r="E135" s="34">
        <f>2074.74+539.82+145.56+162.16</f>
        <v>2922.2799999999997</v>
      </c>
      <c r="G135" s="34">
        <f>619.19+607.85+34.87+138.17+241.85</f>
        <v>1641.9299999999998</v>
      </c>
      <c r="I135" s="34">
        <f>613.54+25.58+17.72+39.92</f>
        <v>696.76</v>
      </c>
      <c r="K135" s="60">
        <f>296.76+159.31+165.6</f>
        <v>621.66999999999996</v>
      </c>
      <c r="M135" s="11">
        <f>SUM(C135+E135+G135+I135+K135)</f>
        <v>8837.57</v>
      </c>
    </row>
    <row r="136" spans="1:13" ht="15.75" x14ac:dyDescent="0.3">
      <c r="A136" s="130" t="s">
        <v>141</v>
      </c>
      <c r="B136" s="9"/>
      <c r="C136" s="1">
        <f>1440.39</f>
        <v>1440.39</v>
      </c>
      <c r="E136" s="34">
        <f>495.74</f>
        <v>495.74</v>
      </c>
      <c r="G136" s="34">
        <v>0</v>
      </c>
      <c r="I136" s="34">
        <f>144+1570.37</f>
        <v>1714.37</v>
      </c>
      <c r="K136" s="60">
        <v>0</v>
      </c>
      <c r="M136" s="11">
        <f t="shared" ref="M136:M137" si="8">SUM(C136+E136+G136+I136+K136)</f>
        <v>3650.5</v>
      </c>
    </row>
    <row r="137" spans="1:13" ht="15.75" x14ac:dyDescent="0.3">
      <c r="A137" s="130" t="s">
        <v>78</v>
      </c>
      <c r="B137" s="9"/>
      <c r="C137" s="1">
        <v>0</v>
      </c>
      <c r="E137" s="34">
        <v>0</v>
      </c>
      <c r="G137" s="34">
        <v>0</v>
      </c>
      <c r="I137" s="34">
        <v>0</v>
      </c>
      <c r="K137" s="60">
        <v>0</v>
      </c>
      <c r="M137" s="11">
        <f t="shared" si="8"/>
        <v>0</v>
      </c>
    </row>
    <row r="138" spans="1:13" ht="15.75" x14ac:dyDescent="0.3">
      <c r="A138" s="130"/>
      <c r="B138" s="32"/>
      <c r="C138" s="81">
        <f>SUM(C135:C137)</f>
        <v>4395.3200000000006</v>
      </c>
      <c r="D138" s="32"/>
      <c r="E138" s="81">
        <f>SUM(E135:E137)</f>
        <v>3418.0199999999995</v>
      </c>
      <c r="F138" s="32"/>
      <c r="G138" s="81">
        <f>SUM(G135:G137)</f>
        <v>1641.9299999999998</v>
      </c>
      <c r="H138" s="32"/>
      <c r="I138" s="81">
        <f>SUM(I135:I137)</f>
        <v>2411.13</v>
      </c>
      <c r="J138" s="32"/>
      <c r="K138" s="81">
        <f>SUM(K135:K136)</f>
        <v>621.66999999999996</v>
      </c>
      <c r="L138" s="32"/>
      <c r="M138" s="79">
        <f>SUM(C138+E138+G138+I138+K138)</f>
        <v>12488.070000000002</v>
      </c>
    </row>
    <row r="139" spans="1:13" ht="15.75" x14ac:dyDescent="0.3">
      <c r="A139" s="130"/>
      <c r="B139" s="32"/>
      <c r="C139" s="69"/>
      <c r="D139" s="32"/>
      <c r="E139" s="69"/>
      <c r="F139" s="32"/>
      <c r="G139" s="69"/>
      <c r="H139" s="32"/>
      <c r="I139" s="69"/>
      <c r="J139" s="32"/>
      <c r="K139" s="69"/>
      <c r="L139" s="32"/>
      <c r="M139" s="76"/>
    </row>
    <row r="140" spans="1:13" ht="16.5" x14ac:dyDescent="0.3">
      <c r="A140" s="127" t="s">
        <v>127</v>
      </c>
      <c r="B140" s="9"/>
      <c r="C140" s="1"/>
      <c r="E140" s="34"/>
      <c r="G140" s="34"/>
      <c r="I140" s="34"/>
      <c r="K140" s="60"/>
      <c r="M140" s="93">
        <v>3</v>
      </c>
    </row>
    <row r="141" spans="1:13" ht="15.75" x14ac:dyDescent="0.3">
      <c r="A141" s="130" t="s">
        <v>226</v>
      </c>
      <c r="B141" s="9"/>
      <c r="C141" s="1">
        <f>418.33+672.21+2803.05+983.04+618.78+329.6+288.96+689.75+261.17+252+180+779.4+206.42</f>
        <v>8482.7100000000009</v>
      </c>
      <c r="E141" s="34">
        <f>72.25+35.2+67.26+56.13+3813.89+236+5525.6+2510.77+5015.81+2678.66</f>
        <v>20011.57</v>
      </c>
      <c r="G141" s="34">
        <f>4012.93+171.5+577.92+1737.88+1762.97+3375.76+3430.31</f>
        <v>15069.27</v>
      </c>
      <c r="I141" s="34">
        <f>34.93+6.85+9.98+2754.44</f>
        <v>2806.2000000000003</v>
      </c>
      <c r="K141" s="60">
        <f>5456.74+87.52+5354.02+17.85</f>
        <v>10916.130000000001</v>
      </c>
      <c r="M141" s="11">
        <f>SUM(C141+E141+G141+I141+K141)</f>
        <v>57285.880000000005</v>
      </c>
    </row>
    <row r="142" spans="1:13" ht="15.75" x14ac:dyDescent="0.3">
      <c r="A142" s="130" t="s">
        <v>234</v>
      </c>
      <c r="B142" s="9"/>
      <c r="C142" s="1">
        <v>0</v>
      </c>
      <c r="E142" s="34">
        <f>2250</f>
        <v>2250</v>
      </c>
      <c r="G142" s="34">
        <v>0</v>
      </c>
      <c r="I142" s="34">
        <f>2025</f>
        <v>2025</v>
      </c>
      <c r="K142" s="60">
        <v>0</v>
      </c>
      <c r="M142" s="11">
        <f t="shared" ref="M142" si="9">SUM(C142+E142+G142+I142+K142)</f>
        <v>4275</v>
      </c>
    </row>
    <row r="143" spans="1:13" ht="15.75" x14ac:dyDescent="0.3">
      <c r="A143" s="134" t="s">
        <v>32</v>
      </c>
      <c r="B143" s="32"/>
      <c r="C143" s="81">
        <f>SUM(C141:C142)</f>
        <v>8482.7100000000009</v>
      </c>
      <c r="D143" s="32"/>
      <c r="E143" s="81">
        <f>SUM(E141:E142)</f>
        <v>22261.57</v>
      </c>
      <c r="F143" s="32"/>
      <c r="G143" s="81">
        <f>SUM(G141:G142)</f>
        <v>15069.27</v>
      </c>
      <c r="H143" s="32"/>
      <c r="I143" s="81">
        <f>SUM(I141:I142)</f>
        <v>4831.2000000000007</v>
      </c>
      <c r="J143" s="32"/>
      <c r="K143" s="81">
        <f>SUM(K141:K142)</f>
        <v>10916.130000000001</v>
      </c>
      <c r="L143" s="32"/>
      <c r="M143" s="79">
        <f>SUM(C143+E143+G143+I143+K143)</f>
        <v>61560.880000000005</v>
      </c>
    </row>
    <row r="144" spans="1:13" ht="15.75" x14ac:dyDescent="0.3">
      <c r="A144" s="127" t="s">
        <v>154</v>
      </c>
      <c r="B144" s="9"/>
      <c r="C144" s="1"/>
      <c r="E144" s="34"/>
      <c r="G144" s="34"/>
      <c r="I144" s="34"/>
      <c r="K144" s="60"/>
      <c r="M144" s="76"/>
    </row>
    <row r="145" spans="1:13" ht="15.75" x14ac:dyDescent="0.3">
      <c r="A145" s="130" t="s">
        <v>80</v>
      </c>
      <c r="B145" s="9"/>
      <c r="C145" s="1">
        <v>0</v>
      </c>
      <c r="E145" s="34">
        <f>800+90+340</f>
        <v>1230</v>
      </c>
      <c r="G145" s="34">
        <v>0</v>
      </c>
      <c r="I145" s="34">
        <f>291.78+516</f>
        <v>807.78</v>
      </c>
      <c r="K145" s="60">
        <v>0</v>
      </c>
      <c r="M145" s="11">
        <f>SUM(C145+E145+G145+I145+K145)</f>
        <v>2037.78</v>
      </c>
    </row>
    <row r="146" spans="1:13" ht="15.75" x14ac:dyDescent="0.3">
      <c r="A146" s="130" t="s">
        <v>79</v>
      </c>
      <c r="B146" s="9"/>
      <c r="C146" s="1">
        <f>833+200+60+14</f>
        <v>1107</v>
      </c>
      <c r="E146" s="34">
        <f>300+1754.36</f>
        <v>2054.3599999999997</v>
      </c>
      <c r="G146" s="34">
        <f>250+291</f>
        <v>541</v>
      </c>
      <c r="I146" s="34">
        <f>47.94+7.48</f>
        <v>55.42</v>
      </c>
      <c r="K146" s="60">
        <f>690.25</f>
        <v>690.25</v>
      </c>
      <c r="M146" s="11">
        <f t="shared" ref="M146:M148" si="10">SUM(C146+E146+G146+I146+K146)</f>
        <v>4448.03</v>
      </c>
    </row>
    <row r="147" spans="1:13" ht="15.75" x14ac:dyDescent="0.3">
      <c r="A147" s="128" t="s">
        <v>129</v>
      </c>
      <c r="B147" s="9"/>
      <c r="C147" s="1">
        <f>107</f>
        <v>107</v>
      </c>
      <c r="E147" s="34">
        <f>400</f>
        <v>400</v>
      </c>
      <c r="G147" s="34">
        <f>1700</f>
        <v>1700</v>
      </c>
      <c r="I147" s="34">
        <f>1700</f>
        <v>1700</v>
      </c>
      <c r="K147" s="60">
        <v>0</v>
      </c>
      <c r="M147" s="11">
        <f t="shared" si="10"/>
        <v>3907</v>
      </c>
    </row>
    <row r="148" spans="1:13" ht="15.75" x14ac:dyDescent="0.3">
      <c r="A148" s="128" t="s">
        <v>227</v>
      </c>
      <c r="B148" s="9"/>
      <c r="C148" s="1">
        <v>0</v>
      </c>
      <c r="E148" s="34">
        <v>0</v>
      </c>
      <c r="G148" s="34">
        <v>1500</v>
      </c>
      <c r="I148" s="34">
        <v>1500</v>
      </c>
      <c r="K148" s="60">
        <v>1500</v>
      </c>
      <c r="M148" s="11">
        <f t="shared" si="10"/>
        <v>4500</v>
      </c>
    </row>
    <row r="149" spans="1:13" ht="15.75" x14ac:dyDescent="0.3">
      <c r="A149" s="134" t="s">
        <v>32</v>
      </c>
      <c r="B149" s="32"/>
      <c r="C149" s="81">
        <f>SUM(C145:C148)</f>
        <v>1214</v>
      </c>
      <c r="D149" s="32"/>
      <c r="E149" s="81">
        <f>SUM(E145:E148)</f>
        <v>3684.3599999999997</v>
      </c>
      <c r="F149" s="32"/>
      <c r="G149" s="81">
        <f>SUM(G145:G148)</f>
        <v>3741</v>
      </c>
      <c r="H149" s="32"/>
      <c r="I149" s="81">
        <f>SUM(I145:I148)</f>
        <v>4063.2</v>
      </c>
      <c r="J149" s="32"/>
      <c r="K149" s="81">
        <f>SUM(K145:K148)</f>
        <v>2190.25</v>
      </c>
      <c r="L149" s="32"/>
      <c r="M149" s="79">
        <f>SUM(C149+E149+G149+I149+K149)</f>
        <v>14892.810000000001</v>
      </c>
    </row>
    <row r="150" spans="1:13" ht="15.75" x14ac:dyDescent="0.3">
      <c r="A150" s="127" t="s">
        <v>84</v>
      </c>
      <c r="B150" s="9"/>
      <c r="C150" s="34"/>
      <c r="D150" s="31"/>
      <c r="E150" s="34"/>
      <c r="F150" s="31"/>
      <c r="G150" s="34"/>
      <c r="H150" s="31"/>
      <c r="I150" s="34"/>
      <c r="J150" s="31"/>
      <c r="K150" s="78"/>
      <c r="L150" s="31"/>
      <c r="M150" s="76"/>
    </row>
    <row r="151" spans="1:13" ht="15.75" x14ac:dyDescent="0.3">
      <c r="A151" s="128" t="s">
        <v>85</v>
      </c>
      <c r="B151" s="9"/>
      <c r="C151" s="1">
        <f>13.55+29.9+6.63+40+13.55+6.63+4.2+22+21.5+64.6+53.09</f>
        <v>275.64999999999998</v>
      </c>
      <c r="E151" s="34">
        <f>21.9+5.76+29.9+13.55+7.09+2.1+22+3.4+3.78+61.2+52.05+106.5</f>
        <v>329.23</v>
      </c>
      <c r="G151" s="34">
        <f>4.2+22+57.8+52.46+29.9+40+13.55+21.9</f>
        <v>241.81000000000003</v>
      </c>
      <c r="I151" s="34">
        <f>20.3+41.4+1.7+22.1+4+6.8+1.7+2+1.7+0.85+2+0.85+66+0.85+29.9+6.45+4.2+2.55+12+0.85+0.85+0.85+13.6+16+1.7+22+0.85+2+2+2+1.7+2+2+2.55+2+1.7+0.85+2+38+27+0.85+2+2+0.85</f>
        <v>375.55</v>
      </c>
      <c r="K151" s="60">
        <f>21.9+41.4+2+0.85+2+2+2+2.55+2+2+2+2+8.39+5.57+7.71+29.9+40+0.85+4.2+0.85+121.62+2+2+2+2+2+2+2+2+2+2+2+1.7+29+2+2+2+2+0.85+0.85+2+2+2+2+2+44.2+35.27</f>
        <v>453.65999999999997</v>
      </c>
      <c r="M151" s="11">
        <f t="shared" ref="M151:M154" si="11">SUM(C151:K151)</f>
        <v>1675.9</v>
      </c>
    </row>
    <row r="152" spans="1:13" ht="15.75" x14ac:dyDescent="0.3">
      <c r="A152" s="128" t="s">
        <v>86</v>
      </c>
      <c r="B152" s="9"/>
      <c r="C152" s="1">
        <v>0</v>
      </c>
      <c r="E152" s="34">
        <v>0</v>
      </c>
      <c r="G152" s="34">
        <v>594.99</v>
      </c>
      <c r="I152" s="34">
        <v>0</v>
      </c>
      <c r="K152" s="60">
        <v>0</v>
      </c>
      <c r="M152" s="11">
        <f t="shared" si="11"/>
        <v>594.99</v>
      </c>
    </row>
    <row r="153" spans="1:13" ht="15.75" x14ac:dyDescent="0.3">
      <c r="A153" s="128" t="s">
        <v>200</v>
      </c>
      <c r="B153" s="9"/>
      <c r="C153" s="1">
        <v>0</v>
      </c>
      <c r="E153" s="34">
        <v>0</v>
      </c>
      <c r="G153" s="34">
        <f>258</f>
        <v>258</v>
      </c>
      <c r="I153" s="34">
        <v>0</v>
      </c>
      <c r="K153" s="60">
        <v>0</v>
      </c>
      <c r="M153" s="11">
        <f t="shared" si="11"/>
        <v>258</v>
      </c>
    </row>
    <row r="154" spans="1:13" ht="15.75" x14ac:dyDescent="0.3">
      <c r="A154" s="128" t="s">
        <v>87</v>
      </c>
      <c r="B154" s="9"/>
      <c r="C154" s="1">
        <f>274.34+900</f>
        <v>1174.3399999999999</v>
      </c>
      <c r="E154" s="34">
        <f>298.6</f>
        <v>298.60000000000002</v>
      </c>
      <c r="G154" s="34">
        <f>298.6</f>
        <v>298.60000000000002</v>
      </c>
      <c r="I154" s="34">
        <f>393.64</f>
        <v>393.64</v>
      </c>
      <c r="K154" s="60">
        <v>0</v>
      </c>
      <c r="M154" s="11">
        <f t="shared" si="11"/>
        <v>2165.1799999999998</v>
      </c>
    </row>
    <row r="155" spans="1:13" ht="15.75" x14ac:dyDescent="0.3">
      <c r="A155" s="134" t="s">
        <v>32</v>
      </c>
      <c r="B155" s="32"/>
      <c r="C155" s="81">
        <f>SUM(C150:C154)</f>
        <v>1449.9899999999998</v>
      </c>
      <c r="D155" s="32"/>
      <c r="E155" s="81">
        <f>SUM(E150:E154)</f>
        <v>627.83000000000004</v>
      </c>
      <c r="F155" s="32"/>
      <c r="G155" s="81">
        <f>SUM(G150:G154)</f>
        <v>1393.4</v>
      </c>
      <c r="H155" s="32"/>
      <c r="I155" s="81">
        <f>SUM(I150:I154)</f>
        <v>769.19</v>
      </c>
      <c r="J155" s="32"/>
      <c r="K155" s="81">
        <f>SUM(K150:K154)</f>
        <v>453.65999999999997</v>
      </c>
      <c r="L155" s="32"/>
      <c r="M155" s="79">
        <f>SUM(C155+E155+G155+I155+K155)</f>
        <v>4694.07</v>
      </c>
    </row>
    <row r="156" spans="1:13" s="31" customFormat="1" ht="15.75" x14ac:dyDescent="0.3">
      <c r="A156" s="118"/>
      <c r="B156" s="32"/>
      <c r="C156" s="69"/>
      <c r="D156" s="32"/>
      <c r="E156" s="69"/>
      <c r="F156" s="32"/>
      <c r="G156" s="69"/>
      <c r="H156" s="32"/>
      <c r="I156" s="69"/>
      <c r="J156" s="32"/>
      <c r="K156" s="69"/>
      <c r="L156" s="32"/>
      <c r="M156" s="76"/>
    </row>
    <row r="157" spans="1:13" ht="15.75" x14ac:dyDescent="0.3">
      <c r="A157" s="134" t="s">
        <v>32</v>
      </c>
      <c r="B157" s="32"/>
      <c r="C157" s="81">
        <f>SUM(C155+C149+C143+C138+C133+C126+C90+C83+C76+C73+C68+C60+C55)</f>
        <v>163049.38500000001</v>
      </c>
      <c r="D157" s="32"/>
      <c r="E157" s="81">
        <f>SUM(E155+E149+E143+E138+E133+E126+E90+E83+E76+E73+E68+E60+E55)</f>
        <v>294755.47000000003</v>
      </c>
      <c r="F157" s="32"/>
      <c r="G157" s="81">
        <f>SUM(G155+G149+G143+G138+G133+G126+G90+G83+G76+G73+G68+G60+G55)</f>
        <v>193929.21000000002</v>
      </c>
      <c r="H157" s="32"/>
      <c r="I157" s="81">
        <f>SUM(I155+I149+I143+I138+I133+I126+I90+I83+I76+I73+I68+I60+I55)</f>
        <v>211442.04999999996</v>
      </c>
      <c r="J157" s="32"/>
      <c r="K157" s="81">
        <f>SUM(K155+K149+K143+K138+K133+K126+K90+K83+K76+K73+K68+K60+K55)</f>
        <v>228817.35</v>
      </c>
      <c r="L157" s="32"/>
      <c r="M157" s="79">
        <f>SUM(M55+M60+M68+M73+M76+M83+M90+M126+M133+M138+M143+M149+M155)</f>
        <v>1091993.4650000001</v>
      </c>
    </row>
    <row r="158" spans="1:13" s="31" customFormat="1" ht="15.75" x14ac:dyDescent="0.3">
      <c r="A158" s="118"/>
      <c r="B158" s="32"/>
      <c r="C158" s="69"/>
      <c r="D158" s="32"/>
      <c r="E158" s="69"/>
      <c r="F158" s="32"/>
      <c r="G158" s="69"/>
      <c r="H158" s="32"/>
      <c r="I158" s="69"/>
      <c r="J158" s="32"/>
      <c r="K158" s="69"/>
      <c r="L158" s="32"/>
      <c r="M158" s="76"/>
    </row>
    <row r="159" spans="1:13" s="31" customFormat="1" ht="15.75" hidden="1" x14ac:dyDescent="0.3">
      <c r="A159" s="119" t="s">
        <v>176</v>
      </c>
      <c r="B159" s="32"/>
      <c r="C159" s="34"/>
      <c r="E159" s="34"/>
      <c r="G159" s="34"/>
      <c r="I159" s="34"/>
      <c r="K159" s="78"/>
      <c r="M159" s="76"/>
    </row>
    <row r="160" spans="1:13" s="31" customFormat="1" ht="15.75" hidden="1" x14ac:dyDescent="0.3">
      <c r="A160" s="120" t="s">
        <v>178</v>
      </c>
      <c r="B160" s="32"/>
      <c r="C160" s="34">
        <v>0</v>
      </c>
      <c r="E160" s="34">
        <v>0</v>
      </c>
      <c r="G160" s="34">
        <v>0</v>
      </c>
      <c r="I160" s="34">
        <f>1850</f>
        <v>1850</v>
      </c>
      <c r="K160" s="78">
        <f>13031.55+2000</f>
        <v>15031.55</v>
      </c>
      <c r="M160" s="76">
        <f>SUM(C160+E160+G160+I160+K160)</f>
        <v>16881.55</v>
      </c>
    </row>
    <row r="161" spans="1:13" s="31" customFormat="1" ht="15.75" hidden="1" x14ac:dyDescent="0.3">
      <c r="A161" s="120" t="s">
        <v>177</v>
      </c>
      <c r="B161" s="32"/>
      <c r="C161" s="34">
        <v>0</v>
      </c>
      <c r="E161" s="34">
        <v>0</v>
      </c>
      <c r="G161" s="34">
        <v>0</v>
      </c>
      <c r="I161" s="34">
        <v>0</v>
      </c>
      <c r="K161" s="78">
        <v>0</v>
      </c>
      <c r="M161" s="76">
        <f t="shared" ref="M161:M167" si="12">SUM(C161+E161+G161+I161+K161)</f>
        <v>0</v>
      </c>
    </row>
    <row r="162" spans="1:13" s="31" customFormat="1" ht="15.75" hidden="1" x14ac:dyDescent="0.3">
      <c r="A162" s="120" t="s">
        <v>228</v>
      </c>
      <c r="B162" s="32"/>
      <c r="C162" s="34">
        <v>2122.41</v>
      </c>
      <c r="E162" s="34">
        <v>0</v>
      </c>
      <c r="G162" s="34">
        <v>0</v>
      </c>
      <c r="I162" s="34">
        <v>0</v>
      </c>
      <c r="K162" s="78">
        <v>0</v>
      </c>
      <c r="M162" s="76">
        <f t="shared" si="12"/>
        <v>2122.41</v>
      </c>
    </row>
    <row r="163" spans="1:13" s="31" customFormat="1" ht="15.75" hidden="1" x14ac:dyDescent="0.3">
      <c r="A163" s="120" t="s">
        <v>192</v>
      </c>
      <c r="B163" s="32"/>
      <c r="C163" s="34">
        <f>7500</f>
        <v>7500</v>
      </c>
      <c r="E163" s="34">
        <v>0</v>
      </c>
      <c r="G163" s="34">
        <v>0</v>
      </c>
      <c r="I163" s="34">
        <v>0</v>
      </c>
      <c r="K163" s="78">
        <v>0</v>
      </c>
      <c r="M163" s="76">
        <f t="shared" si="12"/>
        <v>7500</v>
      </c>
    </row>
    <row r="164" spans="1:13" s="31" customFormat="1" ht="15.75" hidden="1" x14ac:dyDescent="0.3">
      <c r="A164" s="120" t="s">
        <v>184</v>
      </c>
      <c r="B164" s="32"/>
      <c r="C164" s="34">
        <f>150</f>
        <v>150</v>
      </c>
      <c r="E164" s="34">
        <v>0</v>
      </c>
      <c r="G164" s="34">
        <v>0</v>
      </c>
      <c r="I164" s="34">
        <v>0</v>
      </c>
      <c r="K164" s="78">
        <v>0</v>
      </c>
      <c r="M164" s="76">
        <f t="shared" si="12"/>
        <v>150</v>
      </c>
    </row>
    <row r="165" spans="1:13" s="31" customFormat="1" ht="15.75" hidden="1" x14ac:dyDescent="0.3">
      <c r="A165" s="120" t="s">
        <v>180</v>
      </c>
      <c r="B165" s="32"/>
      <c r="C165" s="34">
        <f>452+307</f>
        <v>759</v>
      </c>
      <c r="E165" s="34">
        <f>21.9</f>
        <v>21.9</v>
      </c>
      <c r="G165" s="34">
        <v>0</v>
      </c>
      <c r="I165" s="34">
        <v>0</v>
      </c>
      <c r="K165" s="78">
        <v>0</v>
      </c>
      <c r="M165" s="76">
        <f t="shared" si="12"/>
        <v>780.9</v>
      </c>
    </row>
    <row r="166" spans="1:13" s="31" customFormat="1" ht="15.75" hidden="1" x14ac:dyDescent="0.3">
      <c r="A166" s="120" t="s">
        <v>194</v>
      </c>
      <c r="B166" s="32"/>
      <c r="C166" s="34">
        <v>0</v>
      </c>
      <c r="E166" s="34">
        <f>149.87</f>
        <v>149.87</v>
      </c>
      <c r="G166" s="34">
        <v>0</v>
      </c>
      <c r="I166" s="34">
        <v>0</v>
      </c>
      <c r="K166" s="78">
        <v>0</v>
      </c>
      <c r="M166" s="76">
        <f t="shared" si="12"/>
        <v>149.87</v>
      </c>
    </row>
    <row r="167" spans="1:13" s="31" customFormat="1" ht="15.75" hidden="1" x14ac:dyDescent="0.3">
      <c r="A167" s="120" t="s">
        <v>203</v>
      </c>
      <c r="B167" s="32"/>
      <c r="C167" s="34">
        <v>0</v>
      </c>
      <c r="E167" s="34">
        <v>0</v>
      </c>
      <c r="G167" s="34">
        <v>0</v>
      </c>
      <c r="I167" s="34">
        <f>1426.35</f>
        <v>1426.35</v>
      </c>
      <c r="K167" s="78">
        <v>0</v>
      </c>
      <c r="M167" s="76">
        <f t="shared" si="12"/>
        <v>1426.35</v>
      </c>
    </row>
    <row r="168" spans="1:13" s="31" customFormat="1" ht="15.75" hidden="1" x14ac:dyDescent="0.3">
      <c r="A168" s="118" t="s">
        <v>32</v>
      </c>
      <c r="B168" s="32"/>
      <c r="C168" s="69">
        <f>SUM(C160:C167)</f>
        <v>10531.41</v>
      </c>
      <c r="D168" s="32"/>
      <c r="E168" s="69">
        <f>SUM(E160:E167)</f>
        <v>171.77</v>
      </c>
      <c r="F168" s="32"/>
      <c r="G168" s="69">
        <f>SUM(G160:G167)</f>
        <v>0</v>
      </c>
      <c r="H168" s="32"/>
      <c r="I168" s="69">
        <f>SUM(I160:I167)</f>
        <v>3276.35</v>
      </c>
      <c r="J168" s="32"/>
      <c r="K168" s="69">
        <f>SUM(K160:K167)</f>
        <v>15031.55</v>
      </c>
      <c r="L168" s="32"/>
      <c r="M168" s="76">
        <f>SUM(C168+E168+G168+I168+K168)</f>
        <v>29011.08</v>
      </c>
    </row>
    <row r="169" spans="1:13" s="31" customFormat="1" hidden="1" x14ac:dyDescent="0.25">
      <c r="A169" s="121"/>
      <c r="K169" s="80"/>
    </row>
    <row r="170" spans="1:13" s="31" customFormat="1" ht="15.75" hidden="1" x14ac:dyDescent="0.3">
      <c r="A170" s="118" t="s">
        <v>32</v>
      </c>
      <c r="B170" s="32"/>
      <c r="C170" s="69">
        <f>SUM(C168+C155+C149+C143+C138+C133+C126+C90+C83+C76+C73+C68+C60+C55)</f>
        <v>173580.79500000001</v>
      </c>
      <c r="D170" s="32"/>
      <c r="E170" s="69">
        <f>SUM(E168+E155+E149+E143+E138+E133+E126+E90+E83+E76+E73+E68+E60+E55)</f>
        <v>294927.24000000005</v>
      </c>
      <c r="F170" s="32"/>
      <c r="G170" s="69">
        <f>SUM(G168+G155+G149+G143+G138+G133+G126+G90+G83+G76+G73+G68+G60+G55)</f>
        <v>193929.21000000002</v>
      </c>
      <c r="H170" s="32"/>
      <c r="I170" s="69">
        <f>SUM(I168+I155+I149+I143+I138+I133+I126+I90+I83+I76+I73+I68+I60+I55)</f>
        <v>214718.4</v>
      </c>
      <c r="J170" s="32"/>
      <c r="K170" s="69">
        <f>SUM(K168+K155+K149+K143+K138+K133+K126+K90+K83+K76+K73+K68+K60+K55)</f>
        <v>243848.9</v>
      </c>
      <c r="L170" s="32"/>
      <c r="M170" s="76">
        <f>SUM(M55+M60+M68+M73+M76+M83+M90+M126+M133+M138+M143+M149+M155+M168)</f>
        <v>1121004.5450000002</v>
      </c>
    </row>
    <row r="171" spans="1:13" s="31" customFormat="1" hidden="1" x14ac:dyDescent="0.25">
      <c r="A171" s="121"/>
      <c r="K171" s="80"/>
    </row>
    <row r="172" spans="1:13" s="31" customFormat="1" hidden="1" x14ac:dyDescent="0.25">
      <c r="A172" s="121"/>
      <c r="K172" s="80"/>
    </row>
  </sheetData>
  <mergeCells count="2">
    <mergeCell ref="C2:K2"/>
    <mergeCell ref="C3:K3"/>
  </mergeCells>
  <conditionalFormatting sqref="A54">
    <cfRule type="dataBar" priority="91">
      <dataBar>
        <cfvo type="min"/>
        <cfvo type="max"/>
        <color theme="0"/>
      </dataBar>
    </cfRule>
    <cfRule type="dataBar" priority="92">
      <dataBar>
        <cfvo type="min"/>
        <cfvo type="max"/>
        <color theme="0"/>
      </dataBar>
    </cfRule>
  </conditionalFormatting>
  <conditionalFormatting sqref="A91">
    <cfRule type="dataBar" priority="89">
      <dataBar>
        <cfvo type="min"/>
        <cfvo type="max"/>
        <color theme="0"/>
      </dataBar>
    </cfRule>
    <cfRule type="dataBar" priority="90">
      <dataBar>
        <cfvo type="min"/>
        <cfvo type="max"/>
        <color theme="0"/>
      </dataBar>
    </cfRule>
  </conditionalFormatting>
  <conditionalFormatting sqref="A93">
    <cfRule type="dataBar" priority="87">
      <dataBar>
        <cfvo type="min"/>
        <cfvo type="max"/>
        <color theme="0"/>
      </dataBar>
    </cfRule>
    <cfRule type="dataBar" priority="88">
      <dataBar>
        <cfvo type="min"/>
        <cfvo type="max"/>
        <color theme="0"/>
      </dataBar>
    </cfRule>
  </conditionalFormatting>
  <conditionalFormatting sqref="A116">
    <cfRule type="dataBar" priority="85">
      <dataBar>
        <cfvo type="min"/>
        <cfvo type="max"/>
        <color theme="0"/>
      </dataBar>
    </cfRule>
    <cfRule type="dataBar" priority="86">
      <dataBar>
        <cfvo type="min"/>
        <cfvo type="max"/>
        <color theme="0"/>
      </dataBar>
    </cfRule>
  </conditionalFormatting>
  <conditionalFormatting sqref="A133:A134">
    <cfRule type="dataBar" priority="83">
      <dataBar>
        <cfvo type="min"/>
        <cfvo type="max"/>
        <color theme="0"/>
      </dataBar>
    </cfRule>
    <cfRule type="dataBar" priority="84">
      <dataBar>
        <cfvo type="min"/>
        <cfvo type="max"/>
        <color theme="0"/>
      </dataBar>
    </cfRule>
  </conditionalFormatting>
  <conditionalFormatting sqref="A133:A134">
    <cfRule type="dataBar" priority="80">
      <dataBar>
        <cfvo type="min"/>
        <cfvo type="max"/>
        <color rgb="FFFF555A"/>
      </dataBar>
    </cfRule>
    <cfRule type="iconSet" priority="81">
      <iconSet iconSet="4TrafficLights">
        <cfvo type="percent" val="0"/>
        <cfvo type="percent" val="25"/>
        <cfvo type="percent" val="50"/>
        <cfvo type="percent" val="75"/>
      </iconSet>
    </cfRule>
    <cfRule type="dataBar" priority="82">
      <dataBar>
        <cfvo type="min"/>
        <cfvo type="max"/>
        <color rgb="FF638EC6"/>
      </dataBar>
    </cfRule>
  </conditionalFormatting>
  <conditionalFormatting sqref="A140">
    <cfRule type="dataBar" priority="78">
      <dataBar>
        <cfvo type="min"/>
        <cfvo type="max"/>
        <color theme="0"/>
      </dataBar>
    </cfRule>
    <cfRule type="dataBar" priority="79">
      <dataBar>
        <cfvo type="min"/>
        <cfvo type="max"/>
        <color theme="0"/>
      </dataBar>
    </cfRule>
  </conditionalFormatting>
  <conditionalFormatting sqref="A140">
    <cfRule type="dataBar" priority="75">
      <dataBar>
        <cfvo type="min"/>
        <cfvo type="max"/>
        <color rgb="FFFF555A"/>
      </dataBar>
    </cfRule>
    <cfRule type="iconSet" priority="76">
      <iconSet iconSet="4TrafficLights">
        <cfvo type="percent" val="0"/>
        <cfvo type="percent" val="25"/>
        <cfvo type="percent" val="50"/>
        <cfvo type="percent" val="75"/>
      </iconSet>
    </cfRule>
    <cfRule type="dataBar" priority="77">
      <dataBar>
        <cfvo type="min"/>
        <cfvo type="max"/>
        <color rgb="FF638EC6"/>
      </dataBar>
    </cfRule>
  </conditionalFormatting>
  <conditionalFormatting sqref="A143:A145">
    <cfRule type="dataBar" priority="73">
      <dataBar>
        <cfvo type="min"/>
        <cfvo type="max"/>
        <color theme="0"/>
      </dataBar>
    </cfRule>
    <cfRule type="dataBar" priority="74">
      <dataBar>
        <cfvo type="min"/>
        <cfvo type="max"/>
        <color theme="0"/>
      </dataBar>
    </cfRule>
  </conditionalFormatting>
  <conditionalFormatting sqref="A143:A145">
    <cfRule type="dataBar" priority="70">
      <dataBar>
        <cfvo type="min"/>
        <cfvo type="max"/>
        <color rgb="FFFF555A"/>
      </dataBar>
    </cfRule>
    <cfRule type="iconSet" priority="71">
      <iconSet iconSet="4TrafficLights">
        <cfvo type="percent" val="0"/>
        <cfvo type="percent" val="25"/>
        <cfvo type="percent" val="50"/>
        <cfvo type="percent" val="75"/>
      </iconSet>
    </cfRule>
    <cfRule type="dataBar" priority="72">
      <dataBar>
        <cfvo type="min"/>
        <cfvo type="max"/>
        <color rgb="FF638EC6"/>
      </dataBar>
    </cfRule>
  </conditionalFormatting>
  <conditionalFormatting sqref="A144">
    <cfRule type="dataBar" priority="68">
      <dataBar>
        <cfvo type="min"/>
        <cfvo type="max"/>
        <color theme="0"/>
      </dataBar>
    </cfRule>
    <cfRule type="dataBar" priority="69">
      <dataBar>
        <cfvo type="min"/>
        <cfvo type="max"/>
        <color theme="0"/>
      </dataBar>
    </cfRule>
  </conditionalFormatting>
  <conditionalFormatting sqref="A144">
    <cfRule type="dataBar" priority="65">
      <dataBar>
        <cfvo type="min"/>
        <cfvo type="max"/>
        <color rgb="FFFF555A"/>
      </dataBar>
    </cfRule>
    <cfRule type="iconSet" priority="66">
      <iconSet iconSet="4TrafficLights">
        <cfvo type="percent" val="0"/>
        <cfvo type="percent" val="25"/>
        <cfvo type="percent" val="50"/>
        <cfvo type="percent" val="75"/>
      </iconSet>
    </cfRule>
    <cfRule type="dataBar" priority="67">
      <dataBar>
        <cfvo type="min"/>
        <cfvo type="max"/>
        <color rgb="FF638EC6"/>
      </dataBar>
    </cfRule>
  </conditionalFormatting>
  <conditionalFormatting sqref="A148">
    <cfRule type="dataBar" priority="63">
      <dataBar>
        <cfvo type="min"/>
        <cfvo type="max"/>
        <color theme="0"/>
      </dataBar>
    </cfRule>
    <cfRule type="dataBar" priority="64">
      <dataBar>
        <cfvo type="min"/>
        <cfvo type="max"/>
        <color theme="0"/>
      </dataBar>
    </cfRule>
  </conditionalFormatting>
  <conditionalFormatting sqref="A159">
    <cfRule type="dataBar" priority="61">
      <dataBar>
        <cfvo type="min"/>
        <cfvo type="max"/>
        <color theme="0"/>
      </dataBar>
    </cfRule>
    <cfRule type="dataBar" priority="62">
      <dataBar>
        <cfvo type="min"/>
        <cfvo type="max"/>
        <color theme="0"/>
      </dataBar>
    </cfRule>
  </conditionalFormatting>
  <conditionalFormatting sqref="A159">
    <cfRule type="dataBar" priority="58">
      <dataBar>
        <cfvo type="min"/>
        <cfvo type="max"/>
        <color rgb="FFFF555A"/>
      </dataBar>
    </cfRule>
    <cfRule type="iconSet" priority="59">
      <iconSet iconSet="4TrafficLights">
        <cfvo type="percent" val="0"/>
        <cfvo type="percent" val="25"/>
        <cfvo type="percent" val="50"/>
        <cfvo type="percent" val="75"/>
      </iconSet>
    </cfRule>
    <cfRule type="dataBar" priority="60">
      <dataBar>
        <cfvo type="min"/>
        <cfvo type="max"/>
        <color rgb="FF638EC6"/>
      </dataBar>
    </cfRule>
  </conditionalFormatting>
  <conditionalFormatting sqref="A146">
    <cfRule type="dataBar" priority="56">
      <dataBar>
        <cfvo type="min"/>
        <cfvo type="max"/>
        <color theme="0"/>
      </dataBar>
    </cfRule>
    <cfRule type="dataBar" priority="57">
      <dataBar>
        <cfvo type="min"/>
        <cfvo type="max"/>
        <color theme="0"/>
      </dataBar>
    </cfRule>
  </conditionalFormatting>
  <conditionalFormatting sqref="A150:A154">
    <cfRule type="dataBar" priority="54">
      <dataBar>
        <cfvo type="min"/>
        <cfvo type="max"/>
        <color theme="0"/>
      </dataBar>
    </cfRule>
    <cfRule type="dataBar" priority="55">
      <dataBar>
        <cfvo type="min"/>
        <cfvo type="max"/>
        <color theme="0"/>
      </dataBar>
    </cfRule>
  </conditionalFormatting>
  <conditionalFormatting sqref="A149:A158">
    <cfRule type="dataBar" priority="52">
      <dataBar>
        <cfvo type="min"/>
        <cfvo type="max"/>
        <color theme="0"/>
      </dataBar>
    </cfRule>
    <cfRule type="dataBar" priority="53">
      <dataBar>
        <cfvo type="min"/>
        <cfvo type="max"/>
        <color theme="0"/>
      </dataBar>
    </cfRule>
  </conditionalFormatting>
  <conditionalFormatting sqref="A149:A158">
    <cfRule type="dataBar" priority="49">
      <dataBar>
        <cfvo type="min"/>
        <cfvo type="max"/>
        <color rgb="FFFF555A"/>
      </dataBar>
    </cfRule>
    <cfRule type="iconSet" priority="50">
      <iconSet iconSet="4TrafficLights">
        <cfvo type="percent" val="0"/>
        <cfvo type="percent" val="25"/>
        <cfvo type="percent" val="50"/>
        <cfvo type="percent" val="75"/>
      </iconSet>
    </cfRule>
    <cfRule type="dataBar" priority="51">
      <dataBar>
        <cfvo type="min"/>
        <cfvo type="max"/>
        <color rgb="FF638EC6"/>
      </dataBar>
    </cfRule>
  </conditionalFormatting>
  <conditionalFormatting sqref="A159:A167">
    <cfRule type="dataBar" priority="47">
      <dataBar>
        <cfvo type="min"/>
        <cfvo type="max"/>
        <color theme="0"/>
      </dataBar>
    </cfRule>
    <cfRule type="dataBar" priority="48">
      <dataBar>
        <cfvo type="min"/>
        <cfvo type="max"/>
        <color theme="0"/>
      </dataBar>
    </cfRule>
  </conditionalFormatting>
  <conditionalFormatting sqref="A168">
    <cfRule type="dataBar" priority="45">
      <dataBar>
        <cfvo type="min"/>
        <cfvo type="max"/>
        <color theme="0"/>
      </dataBar>
    </cfRule>
    <cfRule type="dataBar" priority="46">
      <dataBar>
        <cfvo type="min"/>
        <cfvo type="max"/>
        <color theme="0"/>
      </dataBar>
    </cfRule>
  </conditionalFormatting>
  <conditionalFormatting sqref="A168">
    <cfRule type="dataBar" priority="42">
      <dataBar>
        <cfvo type="min"/>
        <cfvo type="max"/>
        <color rgb="FFFF555A"/>
      </dataBar>
    </cfRule>
    <cfRule type="iconSet" priority="43">
      <iconSet iconSet="4TrafficLights">
        <cfvo type="percent" val="0"/>
        <cfvo type="percent" val="25"/>
        <cfvo type="percent" val="50"/>
        <cfvo type="percent" val="75"/>
      </iconSet>
    </cfRule>
    <cfRule type="dataBar" priority="44">
      <dataBar>
        <cfvo type="min"/>
        <cfvo type="max"/>
        <color rgb="FF638EC6"/>
      </dataBar>
    </cfRule>
  </conditionalFormatting>
  <conditionalFormatting sqref="A168">
    <cfRule type="dataBar" priority="40">
      <dataBar>
        <cfvo type="min"/>
        <cfvo type="max"/>
        <color theme="0"/>
      </dataBar>
    </cfRule>
    <cfRule type="dataBar" priority="41">
      <dataBar>
        <cfvo type="min"/>
        <cfvo type="max"/>
        <color theme="0"/>
      </dataBar>
    </cfRule>
  </conditionalFormatting>
  <conditionalFormatting sqref="A168">
    <cfRule type="dataBar" priority="37">
      <dataBar>
        <cfvo type="min"/>
        <cfvo type="max"/>
        <color rgb="FFFF555A"/>
      </dataBar>
    </cfRule>
    <cfRule type="iconSet" priority="38">
      <iconSet iconSet="4TrafficLights">
        <cfvo type="percent" val="0"/>
        <cfvo type="percent" val="25"/>
        <cfvo type="percent" val="50"/>
        <cfvo type="percent" val="75"/>
      </iconSet>
    </cfRule>
    <cfRule type="dataBar" priority="39">
      <dataBar>
        <cfvo type="min"/>
        <cfvo type="max"/>
        <color rgb="FF638EC6"/>
      </dataBar>
    </cfRule>
  </conditionalFormatting>
  <conditionalFormatting sqref="A170">
    <cfRule type="dataBar" priority="35">
      <dataBar>
        <cfvo type="min"/>
        <cfvo type="max"/>
        <color theme="0"/>
      </dataBar>
    </cfRule>
    <cfRule type="dataBar" priority="36">
      <dataBar>
        <cfvo type="min"/>
        <cfvo type="max"/>
        <color theme="0"/>
      </dataBar>
    </cfRule>
  </conditionalFormatting>
  <conditionalFormatting sqref="A170">
    <cfRule type="dataBar" priority="32">
      <dataBar>
        <cfvo type="min"/>
        <cfvo type="max"/>
        <color rgb="FFFF555A"/>
      </dataBar>
    </cfRule>
    <cfRule type="iconSet" priority="33">
      <iconSet iconSet="4TrafficLights">
        <cfvo type="percent" val="0"/>
        <cfvo type="percent" val="25"/>
        <cfvo type="percent" val="50"/>
        <cfvo type="percent" val="75"/>
      </iconSet>
    </cfRule>
    <cfRule type="dataBar" priority="34">
      <dataBar>
        <cfvo type="min"/>
        <cfvo type="max"/>
        <color rgb="FF638EC6"/>
      </dataBar>
    </cfRule>
  </conditionalFormatting>
  <conditionalFormatting sqref="A170">
    <cfRule type="dataBar" priority="30">
      <dataBar>
        <cfvo type="min"/>
        <cfvo type="max"/>
        <color theme="0"/>
      </dataBar>
    </cfRule>
    <cfRule type="dataBar" priority="31">
      <dataBar>
        <cfvo type="min"/>
        <cfvo type="max"/>
        <color theme="0"/>
      </dataBar>
    </cfRule>
  </conditionalFormatting>
  <conditionalFormatting sqref="A170">
    <cfRule type="dataBar" priority="27">
      <dataBar>
        <cfvo type="min"/>
        <cfvo type="max"/>
        <color rgb="FFFF555A"/>
      </dataBar>
    </cfRule>
    <cfRule type="iconSet" priority="28">
      <iconSet iconSet="4TrafficLights">
        <cfvo type="percent" val="0"/>
        <cfvo type="percent" val="25"/>
        <cfvo type="percent" val="50"/>
        <cfvo type="percent" val="75"/>
      </iconSet>
    </cfRule>
    <cfRule type="dataBar" priority="29">
      <dataBar>
        <cfvo type="min"/>
        <cfvo type="max"/>
        <color rgb="FF638EC6"/>
      </dataBar>
    </cfRule>
  </conditionalFormatting>
  <conditionalFormatting sqref="A157:A158">
    <cfRule type="dataBar" priority="25">
      <dataBar>
        <cfvo type="min"/>
        <cfvo type="max"/>
        <color theme="0"/>
      </dataBar>
    </cfRule>
    <cfRule type="dataBar" priority="26">
      <dataBar>
        <cfvo type="min"/>
        <cfvo type="max"/>
        <color theme="0"/>
      </dataBar>
    </cfRule>
  </conditionalFormatting>
  <conditionalFormatting sqref="A157:A158">
    <cfRule type="dataBar" priority="22">
      <dataBar>
        <cfvo type="min"/>
        <cfvo type="max"/>
        <color rgb="FFFF555A"/>
      </dataBar>
    </cfRule>
    <cfRule type="iconSet" priority="23">
      <iconSet iconSet="4TrafficLights">
        <cfvo type="percent" val="0"/>
        <cfvo type="percent" val="25"/>
        <cfvo type="percent" val="50"/>
        <cfvo type="percent" val="75"/>
      </iconSet>
    </cfRule>
    <cfRule type="dataBar" priority="24">
      <dataBar>
        <cfvo type="min"/>
        <cfvo type="max"/>
        <color rgb="FF638EC6"/>
      </dataBar>
    </cfRule>
  </conditionalFormatting>
  <conditionalFormatting sqref="A157:A158">
    <cfRule type="dataBar" priority="20">
      <dataBar>
        <cfvo type="min"/>
        <cfvo type="max"/>
        <color theme="0"/>
      </dataBar>
    </cfRule>
    <cfRule type="dataBar" priority="21">
      <dataBar>
        <cfvo type="min"/>
        <cfvo type="max"/>
        <color theme="0"/>
      </dataBar>
    </cfRule>
  </conditionalFormatting>
  <conditionalFormatting sqref="A157:A158">
    <cfRule type="dataBar" priority="17">
      <dataBar>
        <cfvo type="min"/>
        <cfvo type="max"/>
        <color rgb="FFFF555A"/>
      </dataBar>
    </cfRule>
    <cfRule type="iconSet" priority="18">
      <iconSet iconSet="4TrafficLights">
        <cfvo type="percent" val="0"/>
        <cfvo type="percent" val="25"/>
        <cfvo type="percent" val="50"/>
        <cfvo type="percent" val="75"/>
      </iconSet>
    </cfRule>
    <cfRule type="dataBar" priority="19">
      <dataBar>
        <cfvo type="min"/>
        <cfvo type="max"/>
        <color rgb="FF638EC6"/>
      </dataBar>
    </cfRule>
  </conditionalFormatting>
  <conditionalFormatting sqref="A95:A115">
    <cfRule type="dataBar" priority="15">
      <dataBar>
        <cfvo type="min"/>
        <cfvo type="max"/>
        <color theme="0"/>
      </dataBar>
    </cfRule>
    <cfRule type="dataBar" priority="16">
      <dataBar>
        <cfvo type="min"/>
        <cfvo type="max"/>
        <color theme="0"/>
      </dataBar>
    </cfRule>
  </conditionalFormatting>
  <conditionalFormatting sqref="A91:A116">
    <cfRule type="dataBar" priority="13">
      <dataBar>
        <cfvo type="min"/>
        <cfvo type="max"/>
        <color theme="0"/>
      </dataBar>
    </cfRule>
    <cfRule type="dataBar" priority="14">
      <dataBar>
        <cfvo type="min"/>
        <cfvo type="max"/>
        <color theme="0"/>
      </dataBar>
    </cfRule>
  </conditionalFormatting>
  <conditionalFormatting sqref="A94:A116">
    <cfRule type="dataBar" priority="11">
      <dataBar>
        <cfvo type="min"/>
        <cfvo type="max"/>
        <color theme="0"/>
      </dataBar>
    </cfRule>
    <cfRule type="dataBar" priority="12">
      <dataBar>
        <cfvo type="min"/>
        <cfvo type="max"/>
        <color theme="0"/>
      </dataBar>
    </cfRule>
  </conditionalFormatting>
  <conditionalFormatting sqref="A9:A126">
    <cfRule type="dataBar" priority="9">
      <dataBar>
        <cfvo type="min"/>
        <cfvo type="max"/>
        <color theme="0"/>
      </dataBar>
    </cfRule>
    <cfRule type="dataBar" priority="10">
      <dataBar>
        <cfvo type="min"/>
        <cfvo type="max"/>
        <color theme="0"/>
      </dataBar>
    </cfRule>
  </conditionalFormatting>
  <conditionalFormatting sqref="A9:A126">
    <cfRule type="dataBar" priority="6">
      <dataBar>
        <cfvo type="min"/>
        <cfvo type="max"/>
        <color rgb="FFFF555A"/>
      </dataBar>
    </cfRule>
    <cfRule type="iconSet" priority="7">
      <iconSet iconSet="4TrafficLights">
        <cfvo type="percent" val="0"/>
        <cfvo type="percent" val="25"/>
        <cfvo type="percent" val="50"/>
        <cfvo type="percent" val="75"/>
      </iconSet>
    </cfRule>
    <cfRule type="dataBar" priority="8">
      <dataBar>
        <cfvo type="min"/>
        <cfvo type="max"/>
        <color rgb="FF638EC6"/>
      </dataBar>
    </cfRule>
  </conditionalFormatting>
  <conditionalFormatting sqref="A127:A158">
    <cfRule type="dataBar" priority="4">
      <dataBar>
        <cfvo type="min"/>
        <cfvo type="max"/>
        <color theme="0"/>
      </dataBar>
    </cfRule>
    <cfRule type="dataBar" priority="5">
      <dataBar>
        <cfvo type="min"/>
        <cfvo type="max"/>
        <color theme="0"/>
      </dataBar>
    </cfRule>
  </conditionalFormatting>
  <conditionalFormatting sqref="A127:A158">
    <cfRule type="dataBar" priority="1">
      <dataBar>
        <cfvo type="min"/>
        <cfvo type="max"/>
        <color rgb="FFFF555A"/>
      </dataBar>
    </cfRule>
    <cfRule type="iconSet" priority="2">
      <iconSet iconSet="4TrafficLights">
        <cfvo type="percent" val="0"/>
        <cfvo type="percent" val="25"/>
        <cfvo type="percent" val="50"/>
        <cfvo type="percent" val="75"/>
      </iconSet>
    </cfRule>
    <cfRule type="dataBar" priority="3">
      <dataBar>
        <cfvo type="min"/>
        <cfvo type="max"/>
        <color rgb="FF638EC6"/>
      </dataBar>
    </cfRule>
  </conditionalFormatting>
  <pageMargins left="0" right="0" top="0" bottom="0" header="0.31496062992125984" footer="0.31496062992125984"/>
  <pageSetup paperSize="9" scale="75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3" sqref="C23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P28"/>
  <sheetViews>
    <sheetView zoomScale="91" zoomScaleNormal="91" workbookViewId="0">
      <selection activeCell="E19" sqref="E19"/>
    </sheetView>
  </sheetViews>
  <sheetFormatPr defaultRowHeight="15" x14ac:dyDescent="0.25"/>
  <cols>
    <col min="1" max="1" width="16.42578125" bestFit="1" customWidth="1"/>
    <col min="2" max="2" width="12.140625" bestFit="1" customWidth="1"/>
    <col min="3" max="3" width="3.85546875" customWidth="1"/>
    <col min="4" max="4" width="18.28515625" customWidth="1"/>
    <col min="5" max="5" width="0.7109375" style="31" customWidth="1"/>
    <col min="6" max="6" width="7.42578125" style="31" customWidth="1"/>
    <col min="7" max="7" width="17.85546875" customWidth="1"/>
    <col min="8" max="8" width="5.7109375" style="31" customWidth="1"/>
    <col min="9" max="9" width="17.28515625" customWidth="1"/>
    <col min="10" max="10" width="0.85546875" style="31" customWidth="1"/>
    <col min="11" max="11" width="19.28515625" customWidth="1"/>
    <col min="12" max="12" width="0.7109375" style="31" customWidth="1"/>
  </cols>
  <sheetData>
    <row r="2" spans="1:16" ht="31.5" customHeight="1" x14ac:dyDescent="0.5">
      <c r="B2" s="305" t="s">
        <v>248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</row>
    <row r="3" spans="1:16" ht="23.25" x14ac:dyDescent="0.35">
      <c r="B3" s="306" t="s">
        <v>76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</row>
    <row r="5" spans="1:16" s="4" customFormat="1" x14ac:dyDescent="0.25">
      <c r="D5" s="36" t="s">
        <v>138</v>
      </c>
      <c r="E5" s="32"/>
      <c r="F5" s="32"/>
      <c r="G5" s="36" t="s">
        <v>249</v>
      </c>
      <c r="H5" s="32"/>
      <c r="I5" s="36" t="s">
        <v>250</v>
      </c>
      <c r="J5" s="32"/>
      <c r="K5" s="3"/>
      <c r="L5" s="32"/>
    </row>
    <row r="6" spans="1:16" s="3" customFormat="1" x14ac:dyDescent="0.25">
      <c r="E6" s="33"/>
      <c r="F6" s="33"/>
      <c r="H6" s="33"/>
      <c r="J6" s="33"/>
      <c r="L6" s="33"/>
    </row>
    <row r="7" spans="1:16" s="3" customFormat="1" x14ac:dyDescent="0.25">
      <c r="E7" s="33"/>
      <c r="F7" s="33"/>
      <c r="H7" s="33"/>
      <c r="J7" s="33"/>
      <c r="K7" s="37" t="s">
        <v>32</v>
      </c>
      <c r="L7" s="33"/>
    </row>
    <row r="8" spans="1:16" s="2" customFormat="1" x14ac:dyDescent="0.25">
      <c r="B8" s="3" t="s">
        <v>38</v>
      </c>
      <c r="D8" s="1">
        <v>5000</v>
      </c>
      <c r="E8" s="34"/>
      <c r="F8" s="34"/>
      <c r="G8" s="1">
        <v>5000</v>
      </c>
      <c r="H8" s="34"/>
      <c r="I8" s="1">
        <v>5000</v>
      </c>
      <c r="J8" s="34"/>
      <c r="K8" s="1">
        <f>SUM(D8:I8)</f>
        <v>15000</v>
      </c>
      <c r="L8" s="34"/>
    </row>
    <row r="9" spans="1:16" x14ac:dyDescent="0.25">
      <c r="B9" s="3" t="s">
        <v>39</v>
      </c>
      <c r="D9" s="1">
        <f>SUM(D28)</f>
        <v>2212.2800000000002</v>
      </c>
      <c r="E9" s="34"/>
      <c r="F9" s="34"/>
      <c r="G9" s="1">
        <f>SUM(G28)</f>
        <v>0</v>
      </c>
      <c r="H9" s="34"/>
      <c r="I9" s="1">
        <f>SUM(I28)</f>
        <v>0</v>
      </c>
      <c r="J9" s="34"/>
      <c r="K9" s="1">
        <f>SUM(D9:I9)</f>
        <v>2212.2800000000002</v>
      </c>
      <c r="L9" s="34"/>
    </row>
    <row r="10" spans="1:16" s="8" customFormat="1" ht="12.75" customHeight="1" x14ac:dyDescent="0.25">
      <c r="A10" s="37"/>
      <c r="D10" s="28">
        <f>SUM(D8-D9)</f>
        <v>2787.72</v>
      </c>
      <c r="E10" s="35"/>
      <c r="F10" s="35"/>
      <c r="G10" s="28">
        <f>SUM(G8-G9)</f>
        <v>5000</v>
      </c>
      <c r="H10" s="35"/>
      <c r="I10" s="28">
        <f>SUM(I8-I9)</f>
        <v>5000</v>
      </c>
      <c r="J10" s="35"/>
      <c r="K10" s="28">
        <f>SUM(K8-K9)</f>
        <v>12787.72</v>
      </c>
      <c r="L10" s="35"/>
    </row>
    <row r="11" spans="1:16" x14ac:dyDescent="0.25">
      <c r="A11" s="20" t="s">
        <v>247</v>
      </c>
      <c r="B11" s="29" t="s">
        <v>3</v>
      </c>
      <c r="D11" s="1">
        <f>208.4+625.87+1323.63+54.38</f>
        <v>2212.2800000000002</v>
      </c>
      <c r="G11" s="1">
        <v>0</v>
      </c>
      <c r="I11" s="1">
        <v>0</v>
      </c>
      <c r="K11" s="1">
        <f>SUM(D11:I11)</f>
        <v>2212.2800000000002</v>
      </c>
    </row>
    <row r="12" spans="1:16" x14ac:dyDescent="0.25">
      <c r="A12" s="38"/>
      <c r="B12" s="29"/>
      <c r="D12" s="1">
        <v>0</v>
      </c>
      <c r="G12" s="1">
        <v>0</v>
      </c>
      <c r="I12" s="1">
        <v>0</v>
      </c>
      <c r="K12" s="1">
        <f t="shared" ref="K12:K26" si="0">SUM(D12:I12)</f>
        <v>0</v>
      </c>
    </row>
    <row r="13" spans="1:16" x14ac:dyDescent="0.25">
      <c r="A13" s="38"/>
      <c r="B13" s="29"/>
      <c r="D13" s="1">
        <v>0</v>
      </c>
      <c r="G13" s="1">
        <v>0</v>
      </c>
      <c r="I13" s="1">
        <v>0</v>
      </c>
      <c r="K13" s="1">
        <f t="shared" si="0"/>
        <v>0</v>
      </c>
    </row>
    <row r="14" spans="1:16" x14ac:dyDescent="0.25">
      <c r="A14" s="38"/>
      <c r="B14" s="29"/>
      <c r="D14" s="1">
        <v>0</v>
      </c>
      <c r="G14" s="1">
        <v>0</v>
      </c>
      <c r="I14" s="1">
        <v>0</v>
      </c>
      <c r="K14" s="1">
        <f t="shared" si="0"/>
        <v>0</v>
      </c>
    </row>
    <row r="15" spans="1:16" x14ac:dyDescent="0.25">
      <c r="A15" s="38"/>
      <c r="B15" s="29"/>
      <c r="D15" s="1">
        <v>0</v>
      </c>
      <c r="G15" s="1">
        <v>0</v>
      </c>
      <c r="I15" s="1">
        <v>0</v>
      </c>
      <c r="K15" s="1">
        <f t="shared" si="0"/>
        <v>0</v>
      </c>
    </row>
    <row r="16" spans="1:16" x14ac:dyDescent="0.25">
      <c r="A16" s="38"/>
      <c r="B16" s="29"/>
      <c r="D16" s="1">
        <v>0</v>
      </c>
      <c r="G16" s="1">
        <v>0</v>
      </c>
      <c r="I16" s="1">
        <v>0</v>
      </c>
      <c r="K16" s="1">
        <f t="shared" si="0"/>
        <v>0</v>
      </c>
    </row>
    <row r="17" spans="1:12" x14ac:dyDescent="0.25">
      <c r="A17" s="38"/>
      <c r="B17" s="29"/>
      <c r="D17" s="1">
        <v>0</v>
      </c>
      <c r="G17" s="1">
        <v>0</v>
      </c>
      <c r="I17" s="1">
        <v>0</v>
      </c>
      <c r="K17" s="1">
        <f t="shared" si="0"/>
        <v>0</v>
      </c>
    </row>
    <row r="18" spans="1:12" x14ac:dyDescent="0.25">
      <c r="A18" s="38"/>
      <c r="B18" s="29"/>
      <c r="D18" s="1">
        <v>0</v>
      </c>
      <c r="G18" s="1">
        <v>0</v>
      </c>
      <c r="I18" s="1">
        <v>0</v>
      </c>
      <c r="K18" s="1">
        <f t="shared" si="0"/>
        <v>0</v>
      </c>
    </row>
    <row r="19" spans="1:12" x14ac:dyDescent="0.25">
      <c r="A19" s="38"/>
      <c r="B19" s="29"/>
      <c r="D19" s="1">
        <v>0</v>
      </c>
      <c r="G19" s="1">
        <v>0</v>
      </c>
      <c r="I19" s="1">
        <v>0</v>
      </c>
      <c r="K19" s="1">
        <f t="shared" si="0"/>
        <v>0</v>
      </c>
    </row>
    <row r="20" spans="1:12" x14ac:dyDescent="0.25">
      <c r="A20" s="38"/>
      <c r="B20" s="29"/>
      <c r="D20" s="1">
        <v>0</v>
      </c>
      <c r="F20"/>
      <c r="G20" s="1">
        <v>0</v>
      </c>
      <c r="I20" s="1">
        <v>0</v>
      </c>
      <c r="K20" s="1">
        <f t="shared" si="0"/>
        <v>0</v>
      </c>
    </row>
    <row r="21" spans="1:12" x14ac:dyDescent="0.25">
      <c r="A21" s="38"/>
      <c r="B21" s="29"/>
      <c r="D21" s="1">
        <v>0</v>
      </c>
      <c r="F21"/>
      <c r="G21" s="1">
        <v>0</v>
      </c>
      <c r="I21" s="1">
        <v>0</v>
      </c>
      <c r="K21" s="1">
        <f t="shared" si="0"/>
        <v>0</v>
      </c>
    </row>
    <row r="22" spans="1:12" x14ac:dyDescent="0.25">
      <c r="A22" s="38"/>
      <c r="B22" s="29"/>
      <c r="D22" s="1">
        <v>0</v>
      </c>
      <c r="G22" s="1">
        <v>0</v>
      </c>
      <c r="I22" s="1">
        <v>0</v>
      </c>
      <c r="K22" s="1">
        <f t="shared" si="0"/>
        <v>0</v>
      </c>
    </row>
    <row r="23" spans="1:12" x14ac:dyDescent="0.25">
      <c r="A23" s="38"/>
      <c r="B23" s="29"/>
      <c r="D23" s="1">
        <v>0</v>
      </c>
      <c r="G23" s="1">
        <v>0</v>
      </c>
      <c r="I23" s="1">
        <v>0</v>
      </c>
      <c r="K23" s="1">
        <f t="shared" si="0"/>
        <v>0</v>
      </c>
    </row>
    <row r="24" spans="1:12" x14ac:dyDescent="0.25">
      <c r="A24" s="38"/>
      <c r="B24" s="29"/>
      <c r="D24" s="1">
        <v>0</v>
      </c>
      <c r="G24" s="1">
        <v>0</v>
      </c>
      <c r="I24" s="1">
        <v>0</v>
      </c>
      <c r="K24" s="1">
        <f t="shared" si="0"/>
        <v>0</v>
      </c>
    </row>
    <row r="25" spans="1:12" x14ac:dyDescent="0.25">
      <c r="A25" s="38"/>
      <c r="B25" s="29"/>
      <c r="D25" s="1">
        <v>0</v>
      </c>
      <c r="G25" s="1">
        <v>0</v>
      </c>
      <c r="I25" s="1">
        <v>0</v>
      </c>
      <c r="K25" s="1">
        <f t="shared" si="0"/>
        <v>0</v>
      </c>
    </row>
    <row r="26" spans="1:12" x14ac:dyDescent="0.25">
      <c r="A26" s="38"/>
      <c r="B26" s="29"/>
      <c r="D26" s="1">
        <v>0</v>
      </c>
      <c r="G26" s="1">
        <v>0</v>
      </c>
      <c r="I26" s="1">
        <v>0</v>
      </c>
      <c r="K26" s="1">
        <f t="shared" si="0"/>
        <v>0</v>
      </c>
    </row>
    <row r="27" spans="1:12" ht="6.75" customHeight="1" x14ac:dyDescent="0.25">
      <c r="B27" s="4"/>
      <c r="D27" s="30"/>
      <c r="G27" s="30"/>
      <c r="I27" s="30"/>
      <c r="K27" s="30"/>
    </row>
    <row r="28" spans="1:12" s="4" customFormat="1" x14ac:dyDescent="0.25">
      <c r="A28" s="27"/>
      <c r="B28" s="3" t="s">
        <v>32</v>
      </c>
      <c r="D28" s="14">
        <f>SUM(D11:D26)</f>
        <v>2212.2800000000002</v>
      </c>
      <c r="E28" s="32"/>
      <c r="F28" s="32"/>
      <c r="G28" s="14">
        <f>SUM(G11:G26)</f>
        <v>0</v>
      </c>
      <c r="H28" s="32"/>
      <c r="I28" s="14">
        <f>SUM(I11:I26)</f>
        <v>0</v>
      </c>
      <c r="J28" s="32"/>
      <c r="K28" s="14">
        <f>SUM(D28:I28)</f>
        <v>2212.2800000000002</v>
      </c>
      <c r="L28" s="32"/>
    </row>
  </sheetData>
  <mergeCells count="2">
    <mergeCell ref="B2:P2"/>
    <mergeCell ref="B3:P3"/>
  </mergeCells>
  <pageMargins left="0" right="0" top="0" bottom="0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00"/>
  </sheetPr>
  <dimension ref="A1:AC60"/>
  <sheetViews>
    <sheetView zoomScale="85" zoomScaleNormal="85" workbookViewId="0">
      <selection activeCell="A2" sqref="A2:AA2"/>
    </sheetView>
  </sheetViews>
  <sheetFormatPr defaultRowHeight="15" x14ac:dyDescent="0.25"/>
  <cols>
    <col min="1" max="1" width="24.5703125" style="210" customWidth="1"/>
    <col min="2" max="2" width="0.7109375" style="210" customWidth="1"/>
    <col min="3" max="3" width="16" style="210" bestFit="1" customWidth="1"/>
    <col min="4" max="4" width="1" style="226" customWidth="1"/>
    <col min="5" max="5" width="15.85546875" style="210" customWidth="1"/>
    <col min="6" max="6" width="1.28515625" style="226" customWidth="1"/>
    <col min="7" max="7" width="16" style="210" customWidth="1"/>
    <col min="8" max="8" width="0.7109375" style="226" customWidth="1"/>
    <col min="9" max="9" width="16" style="210" customWidth="1"/>
    <col min="10" max="10" width="0.7109375" style="226" customWidth="1"/>
    <col min="11" max="11" width="16" style="210" customWidth="1"/>
    <col min="12" max="12" width="0.7109375" style="226" customWidth="1"/>
    <col min="13" max="13" width="16.28515625" style="210" customWidth="1"/>
    <col min="14" max="14" width="0.7109375" style="226" customWidth="1"/>
    <col min="15" max="15" width="16.28515625" style="210" customWidth="1"/>
    <col min="16" max="16" width="0.85546875" style="226" customWidth="1"/>
    <col min="17" max="17" width="15.42578125" style="210" customWidth="1"/>
    <col min="18" max="18" width="0.85546875" style="210" customWidth="1"/>
    <col min="19" max="19" width="16.28515625" style="210" customWidth="1"/>
    <col min="20" max="20" width="0.85546875" style="210" customWidth="1"/>
    <col min="21" max="21" width="16" style="210" customWidth="1"/>
    <col min="22" max="22" width="0.7109375" style="210" customWidth="1"/>
    <col min="23" max="23" width="15.5703125" style="210" customWidth="1"/>
    <col min="24" max="24" width="0.5703125" style="210" customWidth="1"/>
    <col min="25" max="25" width="16" style="210" customWidth="1"/>
    <col min="26" max="26" width="0.7109375" style="210" customWidth="1"/>
    <col min="27" max="27" width="16.5703125" style="226" bestFit="1" customWidth="1"/>
    <col min="28" max="28" width="17.85546875" style="226" customWidth="1"/>
    <col min="29" max="29" width="14.42578125" style="210" customWidth="1"/>
    <col min="30" max="16384" width="9.140625" style="210"/>
  </cols>
  <sheetData>
    <row r="1" spans="1:29" ht="25.5" x14ac:dyDescent="0.35">
      <c r="A1" s="314" t="s">
        <v>281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257"/>
      <c r="AC1" s="234"/>
    </row>
    <row r="2" spans="1:29" s="211" customFormat="1" ht="15" customHeight="1" x14ac:dyDescent="0.2">
      <c r="A2" s="315" t="s">
        <v>289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233"/>
      <c r="AC2" s="235"/>
    </row>
    <row r="3" spans="1:29" s="211" customFormat="1" ht="15" customHeight="1" x14ac:dyDescent="0.2">
      <c r="A3" s="316" t="s">
        <v>282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258"/>
      <c r="AC3" s="236"/>
    </row>
    <row r="4" spans="1:29" s="211" customFormat="1" ht="15" customHeight="1" x14ac:dyDescent="0.2">
      <c r="A4" s="317" t="s">
        <v>290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258"/>
      <c r="AC4" s="236"/>
    </row>
    <row r="5" spans="1:29" s="226" customFormat="1" ht="31.5" customHeight="1" x14ac:dyDescent="0.5">
      <c r="A5" s="251"/>
      <c r="B5" s="251"/>
      <c r="C5" s="312" t="s">
        <v>269</v>
      </c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</row>
    <row r="6" spans="1:29" s="244" customFormat="1" ht="33" customHeight="1" x14ac:dyDescent="0.45">
      <c r="A6" s="253" t="s">
        <v>206</v>
      </c>
      <c r="C6" s="276">
        <v>43466</v>
      </c>
      <c r="D6" s="245"/>
      <c r="E6" s="276">
        <v>43497</v>
      </c>
      <c r="F6" s="245"/>
      <c r="G6" s="276">
        <v>43525</v>
      </c>
      <c r="H6" s="245"/>
      <c r="I6" s="276">
        <v>43556</v>
      </c>
      <c r="K6" s="276">
        <v>43586</v>
      </c>
      <c r="M6" s="276">
        <v>43617</v>
      </c>
      <c r="O6" s="276">
        <v>43647</v>
      </c>
      <c r="Q6" s="276">
        <v>43678</v>
      </c>
      <c r="S6" s="276">
        <v>43709</v>
      </c>
      <c r="U6" s="276">
        <v>43739</v>
      </c>
      <c r="W6" s="276">
        <v>43770</v>
      </c>
      <c r="Y6" s="276">
        <v>43800</v>
      </c>
      <c r="AB6" s="245" t="s">
        <v>260</v>
      </c>
      <c r="AC6" s="245"/>
    </row>
    <row r="7" spans="1:29" s="226" customFormat="1" ht="27.75" customHeight="1" x14ac:dyDescent="0.35">
      <c r="A7" s="286" t="s">
        <v>271</v>
      </c>
      <c r="C7" s="220">
        <v>494661.47</v>
      </c>
      <c r="D7" s="237"/>
      <c r="E7" s="237">
        <v>494661.47</v>
      </c>
      <c r="F7" s="237"/>
      <c r="G7" s="237">
        <v>494661.47</v>
      </c>
      <c r="H7" s="237"/>
      <c r="I7" s="237">
        <v>494661.47</v>
      </c>
      <c r="J7" s="237"/>
      <c r="K7" s="237">
        <v>494661.47</v>
      </c>
      <c r="L7" s="237"/>
      <c r="M7" s="237">
        <v>494661.47</v>
      </c>
      <c r="N7" s="237"/>
      <c r="O7" s="237">
        <v>494661.47</v>
      </c>
      <c r="P7" s="237"/>
      <c r="Q7" s="237">
        <v>494661.47</v>
      </c>
      <c r="R7" s="237"/>
      <c r="S7" s="237">
        <v>494661.47</v>
      </c>
      <c r="T7" s="237"/>
      <c r="U7" s="237">
        <v>494661.47</v>
      </c>
      <c r="V7" s="237"/>
      <c r="W7" s="237">
        <v>494661.47</v>
      </c>
      <c r="X7" s="237"/>
      <c r="Y7" s="237">
        <v>494661.47</v>
      </c>
      <c r="Z7" s="237"/>
      <c r="AA7" s="274">
        <f>SUM(C7+E7+G7+I7+K7+M7+O7+Q7+S7+U7+W7+Y7)</f>
        <v>5935937.6399999978</v>
      </c>
      <c r="AB7" s="246">
        <f>SUM(AA7/12)</f>
        <v>494661.4699999998</v>
      </c>
      <c r="AC7" s="233"/>
    </row>
    <row r="8" spans="1:29" s="226" customFormat="1" ht="27.75" customHeight="1" x14ac:dyDescent="0.35">
      <c r="A8" s="286" t="s">
        <v>270</v>
      </c>
      <c r="C8" s="220">
        <v>483525</v>
      </c>
      <c r="D8" s="237"/>
      <c r="E8" s="237">
        <v>448525</v>
      </c>
      <c r="F8" s="237"/>
      <c r="G8" s="237">
        <v>448525</v>
      </c>
      <c r="H8" s="237"/>
      <c r="I8" s="237">
        <v>448525</v>
      </c>
      <c r="J8" s="237"/>
      <c r="K8" s="237">
        <v>810365</v>
      </c>
      <c r="L8" s="237"/>
      <c r="M8" s="237">
        <v>448525</v>
      </c>
      <c r="N8" s="237"/>
      <c r="O8" s="237">
        <v>131685</v>
      </c>
      <c r="P8" s="237"/>
      <c r="Q8" s="237">
        <v>445848.9</v>
      </c>
      <c r="R8" s="237"/>
      <c r="S8" s="237">
        <v>448525</v>
      </c>
      <c r="T8" s="237"/>
      <c r="U8" s="237">
        <v>448525</v>
      </c>
      <c r="V8" s="237"/>
      <c r="W8" s="237">
        <v>86685</v>
      </c>
      <c r="X8" s="237"/>
      <c r="Y8" s="237">
        <v>1172205</v>
      </c>
      <c r="Z8" s="237"/>
      <c r="AA8" s="274">
        <f>SUM(C8+E8+G8+I8+K8+M8+O8+Q8+S8+U8+W8+Y8)</f>
        <v>5821463.9000000004</v>
      </c>
      <c r="AB8" s="246">
        <f>SUM(AA8/12)</f>
        <v>485121.9916666667</v>
      </c>
      <c r="AC8" s="233"/>
    </row>
    <row r="9" spans="1:29" s="226" customFormat="1" ht="27.75" customHeight="1" x14ac:dyDescent="0.35">
      <c r="A9" s="286" t="s">
        <v>272</v>
      </c>
      <c r="C9" s="220">
        <v>300000</v>
      </c>
      <c r="D9" s="237"/>
      <c r="E9" s="237">
        <v>550000</v>
      </c>
      <c r="F9" s="237"/>
      <c r="G9" s="237">
        <v>620000</v>
      </c>
      <c r="H9" s="237"/>
      <c r="I9" s="237">
        <v>308000</v>
      </c>
      <c r="J9" s="237"/>
      <c r="K9" s="237">
        <v>275000</v>
      </c>
      <c r="L9" s="237"/>
      <c r="M9" s="237">
        <v>275000</v>
      </c>
      <c r="N9" s="237"/>
      <c r="O9" s="237">
        <v>275000</v>
      </c>
      <c r="P9" s="237"/>
      <c r="Q9" s="237">
        <v>275000</v>
      </c>
      <c r="R9" s="237"/>
      <c r="S9" s="237">
        <v>0</v>
      </c>
      <c r="T9" s="237"/>
      <c r="U9" s="237">
        <v>275000</v>
      </c>
      <c r="V9" s="237"/>
      <c r="W9" s="237">
        <v>275000</v>
      </c>
      <c r="X9" s="237"/>
      <c r="Y9" s="237">
        <v>335000</v>
      </c>
      <c r="Z9" s="237"/>
      <c r="AA9" s="274">
        <f>SUM(C9+E9+G9+I9+K9+M9+O9+Q9+S9+U9+W9+Y9)</f>
        <v>3763000</v>
      </c>
      <c r="AB9" s="246">
        <f>SUM(AA9/12)</f>
        <v>313583.33333333331</v>
      </c>
      <c r="AC9" s="233"/>
    </row>
    <row r="10" spans="1:29" s="216" customFormat="1" ht="22.5" customHeight="1" x14ac:dyDescent="0.3">
      <c r="A10" s="250" t="s">
        <v>32</v>
      </c>
      <c r="B10" s="224"/>
      <c r="C10" s="275">
        <f>SUM(C7:C9)</f>
        <v>1278186.47</v>
      </c>
      <c r="D10" s="231"/>
      <c r="E10" s="275">
        <f>SUM(E7:E9)</f>
        <v>1493186.47</v>
      </c>
      <c r="F10" s="231"/>
      <c r="G10" s="275">
        <f>SUM(G7:G9)</f>
        <v>1563186.47</v>
      </c>
      <c r="H10" s="231"/>
      <c r="I10" s="275">
        <f>SUM(I7:I9)</f>
        <v>1251186.47</v>
      </c>
      <c r="J10" s="231"/>
      <c r="K10" s="275">
        <f>SUM(K7:K9)</f>
        <v>1580026.47</v>
      </c>
      <c r="L10" s="231"/>
      <c r="M10" s="275">
        <f>SUM(M7:M9)</f>
        <v>1218186.47</v>
      </c>
      <c r="N10" s="231"/>
      <c r="O10" s="275">
        <f>SUM(O7:O9)</f>
        <v>901346.47</v>
      </c>
      <c r="P10" s="231"/>
      <c r="Q10" s="275">
        <f>SUM(Q7:Q9)</f>
        <v>1215510.3700000001</v>
      </c>
      <c r="R10" s="231"/>
      <c r="S10" s="275">
        <f>SUM(S7:S9)</f>
        <v>943186.47</v>
      </c>
      <c r="T10" s="231"/>
      <c r="U10" s="275">
        <f>SUM(U7:U9)</f>
        <v>1218186.47</v>
      </c>
      <c r="V10" s="231"/>
      <c r="W10" s="275">
        <f>SUM(W7:W9)</f>
        <v>856346.47</v>
      </c>
      <c r="X10" s="231"/>
      <c r="Y10" s="275">
        <f>SUM(Y7:Y9)</f>
        <v>2001866.47</v>
      </c>
      <c r="Z10" s="231"/>
      <c r="AA10" s="275">
        <f>SUM(AA7:AA9)</f>
        <v>15520401.539999999</v>
      </c>
      <c r="AB10" s="277">
        <f>SUM(AB7:AB9)</f>
        <v>1293366.7949999997</v>
      </c>
      <c r="AC10" s="224"/>
    </row>
    <row r="11" spans="1:29" s="240" customFormat="1" ht="12.75" x14ac:dyDescent="0.2">
      <c r="A11" s="254"/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B11" s="241"/>
      <c r="AC11" s="241"/>
    </row>
    <row r="12" spans="1:29" s="240" customFormat="1" ht="12" customHeight="1" x14ac:dyDescent="0.2">
      <c r="A12" s="254"/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B12" s="241"/>
      <c r="AC12" s="241"/>
    </row>
    <row r="13" spans="1:29" s="240" customFormat="1" ht="12.75" x14ac:dyDescent="0.2">
      <c r="A13" s="254"/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B13" s="241"/>
      <c r="AC13" s="241"/>
    </row>
    <row r="14" spans="1:29" s="240" customFormat="1" ht="12" customHeight="1" x14ac:dyDescent="0.2">
      <c r="A14" s="254"/>
      <c r="B14" s="25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B14" s="241"/>
      <c r="AC14" s="241"/>
    </row>
    <row r="15" spans="1:29" s="226" customFormat="1" ht="31.5" customHeight="1" x14ac:dyDescent="0.5">
      <c r="A15" s="251"/>
      <c r="B15" s="251"/>
      <c r="C15" s="313" t="s">
        <v>258</v>
      </c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313"/>
    </row>
    <row r="16" spans="1:29" s="226" customFormat="1" ht="8.25" customHeight="1" x14ac:dyDescent="0.5">
      <c r="A16" s="251"/>
      <c r="B16" s="214"/>
      <c r="C16" s="214"/>
      <c r="D16" s="214"/>
      <c r="E16" s="214"/>
      <c r="F16" s="214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</row>
    <row r="17" spans="1:29" s="244" customFormat="1" ht="28.5" x14ac:dyDescent="0.45">
      <c r="A17" s="285" t="s">
        <v>231</v>
      </c>
      <c r="C17" s="282">
        <v>43466</v>
      </c>
      <c r="D17" s="245"/>
      <c r="E17" s="282">
        <v>43497</v>
      </c>
      <c r="F17" s="245"/>
      <c r="G17" s="282">
        <v>43525</v>
      </c>
      <c r="H17" s="245"/>
      <c r="I17" s="282">
        <v>43556</v>
      </c>
      <c r="K17" s="282">
        <v>43586</v>
      </c>
      <c r="M17" s="282">
        <v>43617</v>
      </c>
      <c r="O17" s="282">
        <v>43647</v>
      </c>
      <c r="Q17" s="282">
        <v>43678</v>
      </c>
      <c r="S17" s="282">
        <v>43709</v>
      </c>
      <c r="U17" s="282">
        <v>43739</v>
      </c>
      <c r="W17" s="282">
        <v>43770</v>
      </c>
      <c r="Y17" s="282">
        <v>43800</v>
      </c>
      <c r="AA17" s="283"/>
      <c r="AB17" s="278"/>
      <c r="AC17" s="245"/>
    </row>
    <row r="18" spans="1:29" s="216" customFormat="1" ht="15.75" x14ac:dyDescent="0.3">
      <c r="A18" s="230" t="s">
        <v>1</v>
      </c>
      <c r="C18" s="237">
        <v>39888.050000000003</v>
      </c>
      <c r="D18" s="226"/>
      <c r="E18" s="237">
        <v>46140.61</v>
      </c>
      <c r="F18" s="226"/>
      <c r="G18" s="237">
        <v>39070.03</v>
      </c>
      <c r="H18" s="226"/>
      <c r="I18" s="237">
        <v>42612.52</v>
      </c>
      <c r="J18" s="226"/>
      <c r="K18" s="237">
        <v>47362.19</v>
      </c>
      <c r="L18" s="226"/>
      <c r="M18" s="237">
        <v>40155.74</v>
      </c>
      <c r="N18" s="226"/>
      <c r="O18" s="237">
        <v>37770.43</v>
      </c>
      <c r="P18" s="226"/>
      <c r="Q18" s="237">
        <v>36054.39</v>
      </c>
      <c r="R18" s="226"/>
      <c r="S18" s="237">
        <v>42611.06</v>
      </c>
      <c r="T18" s="226"/>
      <c r="U18" s="237">
        <v>54378.63</v>
      </c>
      <c r="V18" s="226"/>
      <c r="W18" s="237">
        <v>57034.43</v>
      </c>
      <c r="X18" s="226"/>
      <c r="Y18" s="290">
        <v>57615.07</v>
      </c>
      <c r="Z18" s="226"/>
      <c r="AA18" s="284"/>
      <c r="AB18" s="279"/>
      <c r="AC18" s="224"/>
    </row>
    <row r="19" spans="1:29" s="216" customFormat="1" ht="15.75" x14ac:dyDescent="0.3">
      <c r="A19" s="218" t="s">
        <v>0</v>
      </c>
      <c r="B19" s="219"/>
      <c r="C19" s="237">
        <v>4616.21</v>
      </c>
      <c r="D19" s="210"/>
      <c r="E19" s="220">
        <v>4634.16</v>
      </c>
      <c r="F19" s="226"/>
      <c r="G19" s="220">
        <v>4269.93</v>
      </c>
      <c r="H19" s="210"/>
      <c r="I19" s="220">
        <v>3346.53</v>
      </c>
      <c r="J19" s="226"/>
      <c r="K19" s="220">
        <v>3531.21</v>
      </c>
      <c r="L19" s="210"/>
      <c r="M19" s="220">
        <v>3931.35</v>
      </c>
      <c r="N19" s="210"/>
      <c r="O19" s="220">
        <v>3805.67</v>
      </c>
      <c r="P19" s="210"/>
      <c r="Q19" s="220">
        <v>3685.75</v>
      </c>
      <c r="R19" s="210"/>
      <c r="S19" s="220">
        <v>3664.14</v>
      </c>
      <c r="T19" s="210"/>
      <c r="U19" s="220">
        <v>3612.99</v>
      </c>
      <c r="V19" s="210"/>
      <c r="W19" s="220">
        <v>2782.93</v>
      </c>
      <c r="X19" s="210"/>
      <c r="Y19" s="289">
        <v>2575.41</v>
      </c>
      <c r="Z19" s="210"/>
      <c r="AA19" s="284"/>
      <c r="AB19" s="279"/>
      <c r="AC19" s="224"/>
    </row>
    <row r="20" spans="1:29" s="216" customFormat="1" ht="16.5" customHeight="1" x14ac:dyDescent="0.3">
      <c r="A20" s="218" t="s">
        <v>89</v>
      </c>
      <c r="B20" s="219"/>
      <c r="C20" s="237">
        <v>2590.5700000000002</v>
      </c>
      <c r="D20" s="210"/>
      <c r="E20" s="220">
        <v>2301.71</v>
      </c>
      <c r="F20" s="226"/>
      <c r="G20" s="220">
        <v>1836.92</v>
      </c>
      <c r="H20" s="210"/>
      <c r="I20" s="220">
        <v>2634.28</v>
      </c>
      <c r="J20" s="226"/>
      <c r="K20" s="220">
        <v>3760.09</v>
      </c>
      <c r="L20" s="210"/>
      <c r="M20" s="220">
        <v>2946.57</v>
      </c>
      <c r="N20" s="210"/>
      <c r="O20" s="220">
        <v>2309.5300000000002</v>
      </c>
      <c r="P20" s="210"/>
      <c r="Q20" s="220">
        <v>2044.27</v>
      </c>
      <c r="R20" s="210"/>
      <c r="S20" s="220">
        <v>2446.39</v>
      </c>
      <c r="T20" s="210"/>
      <c r="U20" s="220">
        <v>2410.56</v>
      </c>
      <c r="V20" s="210"/>
      <c r="W20" s="220">
        <v>2619.86</v>
      </c>
      <c r="X20" s="210"/>
      <c r="Y20" s="289">
        <v>2541.56</v>
      </c>
      <c r="Z20" s="210"/>
      <c r="AA20" s="284"/>
      <c r="AB20" s="279"/>
      <c r="AC20" s="224"/>
    </row>
    <row r="21" spans="1:29" s="216" customFormat="1" ht="15.75" x14ac:dyDescent="0.3">
      <c r="A21" s="218" t="s">
        <v>273</v>
      </c>
      <c r="B21" s="219"/>
      <c r="C21" s="237">
        <v>3716.66</v>
      </c>
      <c r="D21" s="210"/>
      <c r="E21" s="220">
        <v>4798.32</v>
      </c>
      <c r="F21" s="226"/>
      <c r="G21" s="220">
        <v>1180.26</v>
      </c>
      <c r="H21" s="210"/>
      <c r="I21" s="220"/>
      <c r="J21" s="226"/>
      <c r="K21" s="220">
        <v>934.03</v>
      </c>
      <c r="L21" s="210"/>
      <c r="M21" s="220">
        <v>426.52</v>
      </c>
      <c r="N21" s="210"/>
      <c r="O21" s="220">
        <v>4296.16</v>
      </c>
      <c r="P21" s="210"/>
      <c r="Q21" s="220">
        <v>1952.44</v>
      </c>
      <c r="R21" s="210"/>
      <c r="S21" s="220">
        <v>347.5</v>
      </c>
      <c r="T21" s="210"/>
      <c r="U21" s="220">
        <v>2407.3000000000002</v>
      </c>
      <c r="V21" s="210"/>
      <c r="W21" s="220">
        <v>123.97</v>
      </c>
      <c r="X21" s="210"/>
      <c r="Y21" s="220">
        <v>466.09</v>
      </c>
      <c r="Z21" s="210"/>
      <c r="AA21" s="284"/>
      <c r="AB21" s="279"/>
      <c r="AC21" s="224"/>
    </row>
    <row r="22" spans="1:29" s="216" customFormat="1" ht="15.75" x14ac:dyDescent="0.3">
      <c r="A22" s="218" t="s">
        <v>261</v>
      </c>
      <c r="B22" s="219"/>
      <c r="C22" s="237">
        <v>179300.11</v>
      </c>
      <c r="D22" s="210"/>
      <c r="E22" s="220">
        <v>107287.26</v>
      </c>
      <c r="F22" s="226"/>
      <c r="G22" s="220">
        <v>139084.01999999999</v>
      </c>
      <c r="H22" s="210"/>
      <c r="I22" s="220">
        <v>114421.88</v>
      </c>
      <c r="J22" s="226"/>
      <c r="K22" s="220">
        <v>180852.73</v>
      </c>
      <c r="L22" s="210"/>
      <c r="M22" s="220">
        <v>128023.53</v>
      </c>
      <c r="N22" s="210"/>
      <c r="O22" s="220">
        <v>128853.01</v>
      </c>
      <c r="P22" s="210"/>
      <c r="Q22" s="220">
        <v>179455.53</v>
      </c>
      <c r="R22" s="210"/>
      <c r="S22" s="220">
        <v>116281.12</v>
      </c>
      <c r="T22" s="210"/>
      <c r="U22" s="220">
        <v>164580.91</v>
      </c>
      <c r="V22" s="210"/>
      <c r="W22" s="220">
        <v>128386.15</v>
      </c>
      <c r="X22" s="210"/>
      <c r="Y22" s="289">
        <v>43664.57</v>
      </c>
      <c r="Z22" s="210"/>
      <c r="AA22" s="284"/>
      <c r="AB22" s="279"/>
      <c r="AC22" s="224"/>
    </row>
    <row r="23" spans="1:29" s="216" customFormat="1" ht="15.75" x14ac:dyDescent="0.3">
      <c r="A23" s="218" t="s">
        <v>287</v>
      </c>
      <c r="B23" s="219"/>
      <c r="C23" s="237">
        <v>2696.93</v>
      </c>
      <c r="D23" s="210"/>
      <c r="E23" s="220">
        <v>6693.65</v>
      </c>
      <c r="F23" s="226"/>
      <c r="G23" s="220">
        <v>2193.8200000000002</v>
      </c>
      <c r="H23" s="210"/>
      <c r="I23" s="220">
        <v>4662.7700000000004</v>
      </c>
      <c r="J23" s="226"/>
      <c r="K23" s="220">
        <v>1807.45</v>
      </c>
      <c r="L23" s="210"/>
      <c r="M23" s="220">
        <v>1402.62</v>
      </c>
      <c r="N23" s="210"/>
      <c r="O23" s="220">
        <v>4272.1000000000004</v>
      </c>
      <c r="P23" s="210"/>
      <c r="Q23" s="220">
        <v>12936.72</v>
      </c>
      <c r="R23" s="210"/>
      <c r="S23" s="220">
        <v>5618.6</v>
      </c>
      <c r="T23" s="210"/>
      <c r="U23" s="220">
        <v>10068.950000000001</v>
      </c>
      <c r="V23" s="210"/>
      <c r="W23" s="220">
        <v>1471.68</v>
      </c>
      <c r="X23" s="210"/>
      <c r="Y23" s="289">
        <v>5304.87</v>
      </c>
      <c r="Z23" s="210"/>
      <c r="AA23" s="284"/>
      <c r="AB23" s="279"/>
      <c r="AC23" s="224"/>
    </row>
    <row r="24" spans="1:29" s="216" customFormat="1" ht="15.75" x14ac:dyDescent="0.3">
      <c r="A24" s="218" t="s">
        <v>285</v>
      </c>
      <c r="B24" s="219"/>
      <c r="C24" s="237">
        <v>20016.02</v>
      </c>
      <c r="D24" s="210"/>
      <c r="E24" s="220">
        <v>18932.740000000002</v>
      </c>
      <c r="F24" s="226"/>
      <c r="G24" s="220">
        <v>44357.87</v>
      </c>
      <c r="H24" s="210"/>
      <c r="I24" s="220">
        <v>30679.79</v>
      </c>
      <c r="J24" s="226"/>
      <c r="K24" s="220">
        <v>39426.300000000003</v>
      </c>
      <c r="L24" s="210"/>
      <c r="M24" s="220">
        <v>21245.42</v>
      </c>
      <c r="N24" s="210"/>
      <c r="O24" s="220">
        <v>43675.09</v>
      </c>
      <c r="P24" s="210"/>
      <c r="Q24" s="220">
        <v>22568.33</v>
      </c>
      <c r="R24" s="210"/>
      <c r="S24" s="220">
        <v>26410.3</v>
      </c>
      <c r="T24" s="210"/>
      <c r="U24" s="220">
        <v>23706.04</v>
      </c>
      <c r="V24" s="210"/>
      <c r="W24" s="220">
        <v>22291.97</v>
      </c>
      <c r="X24" s="210"/>
      <c r="Y24" s="289">
        <v>27439.759999999998</v>
      </c>
      <c r="Z24" s="210"/>
      <c r="AA24" s="284"/>
      <c r="AB24" s="279"/>
      <c r="AC24" s="224"/>
    </row>
    <row r="25" spans="1:29" s="216" customFormat="1" ht="15.75" x14ac:dyDescent="0.3">
      <c r="A25" s="218" t="s">
        <v>265</v>
      </c>
      <c r="B25" s="219"/>
      <c r="C25" s="237">
        <v>31237.56</v>
      </c>
      <c r="D25" s="210"/>
      <c r="E25" s="220">
        <v>25031.53</v>
      </c>
      <c r="F25" s="226"/>
      <c r="G25" s="220">
        <v>25804.75</v>
      </c>
      <c r="H25" s="210"/>
      <c r="I25" s="220">
        <v>33604.42</v>
      </c>
      <c r="J25" s="226"/>
      <c r="K25" s="220">
        <v>30693.98</v>
      </c>
      <c r="L25" s="210"/>
      <c r="M25" s="220">
        <v>29912.99</v>
      </c>
      <c r="N25" s="210"/>
      <c r="O25" s="220">
        <v>34269.21</v>
      </c>
      <c r="P25" s="210"/>
      <c r="Q25" s="220">
        <v>27513.79</v>
      </c>
      <c r="R25" s="210"/>
      <c r="S25" s="220">
        <v>30392.37</v>
      </c>
      <c r="T25" s="210"/>
      <c r="U25" s="220">
        <v>33833.24</v>
      </c>
      <c r="V25" s="210"/>
      <c r="W25" s="220">
        <v>35061.47</v>
      </c>
      <c r="X25" s="210"/>
      <c r="Y25" s="289">
        <v>40750.300000000003</v>
      </c>
      <c r="Z25" s="210"/>
      <c r="AA25" s="284"/>
      <c r="AB25" s="279"/>
      <c r="AC25" s="224"/>
    </row>
    <row r="26" spans="1:29" s="216" customFormat="1" ht="15.75" x14ac:dyDescent="0.3">
      <c r="A26" s="218" t="s">
        <v>14</v>
      </c>
      <c r="B26" s="219"/>
      <c r="C26" s="237">
        <v>9894.18</v>
      </c>
      <c r="D26" s="210"/>
      <c r="E26" s="220">
        <v>5965.83</v>
      </c>
      <c r="F26" s="226"/>
      <c r="G26" s="220">
        <v>6187.38</v>
      </c>
      <c r="H26" s="210"/>
      <c r="I26" s="220">
        <v>8764.86</v>
      </c>
      <c r="J26" s="226"/>
      <c r="K26" s="220">
        <v>10437.57</v>
      </c>
      <c r="L26" s="210"/>
      <c r="M26" s="220">
        <v>4729.17</v>
      </c>
      <c r="N26" s="210"/>
      <c r="O26" s="220">
        <v>6879.79</v>
      </c>
      <c r="P26" s="210"/>
      <c r="Q26" s="220">
        <v>4039.7</v>
      </c>
      <c r="R26" s="210"/>
      <c r="S26" s="220">
        <v>6297.07</v>
      </c>
      <c r="T26" s="210"/>
      <c r="U26" s="220">
        <v>9440.7999999999993</v>
      </c>
      <c r="V26" s="210"/>
      <c r="W26" s="220">
        <v>4529.7299999999996</v>
      </c>
      <c r="X26" s="210"/>
      <c r="Y26" s="289">
        <v>13603.61</v>
      </c>
      <c r="Z26" s="210"/>
      <c r="AA26" s="284"/>
      <c r="AB26" s="279"/>
      <c r="AC26" s="224"/>
    </row>
    <row r="27" spans="1:29" s="216" customFormat="1" ht="15.75" x14ac:dyDescent="0.3">
      <c r="A27" s="218" t="s">
        <v>277</v>
      </c>
      <c r="B27" s="219"/>
      <c r="C27" s="237">
        <v>2527.1</v>
      </c>
      <c r="D27" s="210"/>
      <c r="E27" s="220">
        <v>175</v>
      </c>
      <c r="F27" s="226"/>
      <c r="G27" s="220">
        <v>2453.8200000000002</v>
      </c>
      <c r="H27" s="210"/>
      <c r="I27" s="220">
        <v>2288.86</v>
      </c>
      <c r="J27" s="226"/>
      <c r="K27" s="220">
        <v>4440.1499999999996</v>
      </c>
      <c r="L27" s="210"/>
      <c r="M27" s="220">
        <v>1217.4000000000001</v>
      </c>
      <c r="N27" s="210"/>
      <c r="O27" s="220">
        <v>3290.87</v>
      </c>
      <c r="P27" s="210"/>
      <c r="Q27" s="220">
        <v>1434.23</v>
      </c>
      <c r="R27" s="210"/>
      <c r="S27" s="220">
        <v>4170.0600000000004</v>
      </c>
      <c r="T27" s="210"/>
      <c r="U27" s="220">
        <v>132.84</v>
      </c>
      <c r="V27" s="210"/>
      <c r="W27" s="220">
        <v>2295.59</v>
      </c>
      <c r="X27" s="210"/>
      <c r="Y27" s="289">
        <v>1163.22</v>
      </c>
      <c r="Z27" s="210"/>
      <c r="AA27" s="284"/>
      <c r="AB27" s="279"/>
      <c r="AC27" s="224"/>
    </row>
    <row r="28" spans="1:29" s="216" customFormat="1" ht="15.75" x14ac:dyDescent="0.3">
      <c r="A28" s="218" t="s">
        <v>259</v>
      </c>
      <c r="B28" s="219"/>
      <c r="C28" s="237"/>
      <c r="D28" s="210"/>
      <c r="E28" s="220"/>
      <c r="F28" s="210"/>
      <c r="G28" s="220"/>
      <c r="H28" s="226"/>
      <c r="I28" s="220"/>
      <c r="J28" s="210"/>
      <c r="K28" s="220"/>
      <c r="L28" s="226"/>
      <c r="M28" s="220"/>
      <c r="N28" s="210"/>
      <c r="O28" s="220"/>
      <c r="P28" s="210"/>
      <c r="Q28" s="220"/>
      <c r="R28" s="210"/>
      <c r="S28" s="220"/>
      <c r="T28" s="210"/>
      <c r="U28" s="220"/>
      <c r="V28" s="210"/>
      <c r="W28" s="220"/>
      <c r="X28" s="210"/>
      <c r="Y28" s="220"/>
      <c r="Z28" s="210"/>
      <c r="AA28" s="284"/>
      <c r="AB28" s="279"/>
      <c r="AC28" s="224"/>
    </row>
    <row r="29" spans="1:29" s="216" customFormat="1" ht="15.75" x14ac:dyDescent="0.3">
      <c r="A29" s="230" t="s">
        <v>78</v>
      </c>
      <c r="B29" s="219"/>
      <c r="C29" s="237"/>
      <c r="D29" s="210"/>
      <c r="E29" s="220"/>
      <c r="F29" s="226"/>
      <c r="G29" s="220"/>
      <c r="H29" s="210"/>
      <c r="I29" s="220"/>
      <c r="J29" s="226"/>
      <c r="K29" s="220"/>
      <c r="L29" s="210"/>
      <c r="M29" s="220"/>
      <c r="N29" s="210"/>
      <c r="O29" s="220"/>
      <c r="P29" s="210"/>
      <c r="Q29" s="220"/>
      <c r="R29" s="210"/>
      <c r="S29" s="220"/>
      <c r="T29" s="210"/>
      <c r="U29" s="220"/>
      <c r="V29" s="210"/>
      <c r="W29" s="220"/>
      <c r="X29" s="210"/>
      <c r="Y29" s="220"/>
      <c r="Z29" s="210"/>
      <c r="AA29" s="284"/>
      <c r="AB29" s="279"/>
      <c r="AC29" s="224"/>
    </row>
    <row r="30" spans="1:29" s="216" customFormat="1" ht="15.75" x14ac:dyDescent="0.3">
      <c r="A30" s="218" t="s">
        <v>288</v>
      </c>
      <c r="B30" s="219"/>
      <c r="C30" s="237">
        <v>19684.14</v>
      </c>
      <c r="D30" s="210"/>
      <c r="E30" s="220">
        <v>28827.3</v>
      </c>
      <c r="F30" s="210"/>
      <c r="G30" s="220">
        <v>2636</v>
      </c>
      <c r="H30" s="226"/>
      <c r="I30" s="220">
        <v>37341.699999999997</v>
      </c>
      <c r="J30" s="210"/>
      <c r="K30" s="220">
        <v>14879.32</v>
      </c>
      <c r="L30" s="226"/>
      <c r="M30" s="220">
        <v>32672.14</v>
      </c>
      <c r="N30" s="210"/>
      <c r="O30" s="220">
        <v>15860.5</v>
      </c>
      <c r="P30" s="210"/>
      <c r="Q30" s="220">
        <v>16729.89</v>
      </c>
      <c r="R30" s="210"/>
      <c r="S30" s="220">
        <v>41709.1</v>
      </c>
      <c r="T30" s="210"/>
      <c r="U30" s="220">
        <v>18776.71</v>
      </c>
      <c r="V30" s="210"/>
      <c r="W30" s="220">
        <v>19037.62</v>
      </c>
      <c r="X30" s="210"/>
      <c r="Y30" s="289">
        <v>31039.62</v>
      </c>
      <c r="Z30" s="210"/>
      <c r="AA30" s="284"/>
      <c r="AB30" s="279"/>
      <c r="AC30" s="224"/>
    </row>
    <row r="31" spans="1:29" s="216" customFormat="1" ht="15.75" x14ac:dyDescent="0.3">
      <c r="A31" s="218" t="s">
        <v>266</v>
      </c>
      <c r="B31" s="219"/>
      <c r="C31" s="237">
        <v>485063.21</v>
      </c>
      <c r="D31" s="210"/>
      <c r="E31" s="220">
        <v>479538.43</v>
      </c>
      <c r="F31" s="226"/>
      <c r="G31" s="220">
        <v>489089.46</v>
      </c>
      <c r="H31" s="210"/>
      <c r="I31" s="220">
        <v>501945.06</v>
      </c>
      <c r="J31" s="226"/>
      <c r="K31" s="220">
        <v>497715.29</v>
      </c>
      <c r="L31" s="210"/>
      <c r="M31" s="220">
        <v>491383.6</v>
      </c>
      <c r="N31" s="210"/>
      <c r="O31" s="220">
        <v>486011.68</v>
      </c>
      <c r="P31" s="210"/>
      <c r="Q31" s="220">
        <v>502387.45</v>
      </c>
      <c r="R31" s="210"/>
      <c r="S31" s="220">
        <v>475618.94</v>
      </c>
      <c r="T31" s="210"/>
      <c r="U31" s="220">
        <v>490582.05</v>
      </c>
      <c r="V31" s="210"/>
      <c r="W31" s="220">
        <v>505157.1</v>
      </c>
      <c r="X31" s="210"/>
      <c r="Y31" s="289">
        <v>478646.43</v>
      </c>
      <c r="Z31" s="210"/>
      <c r="AA31" s="284"/>
      <c r="AB31" s="279"/>
      <c r="AC31" s="224"/>
    </row>
    <row r="32" spans="1:29" s="216" customFormat="1" ht="15.75" x14ac:dyDescent="0.3">
      <c r="A32" s="230" t="s">
        <v>254</v>
      </c>
      <c r="C32" s="237"/>
      <c r="D32" s="226"/>
      <c r="E32" s="237"/>
      <c r="F32" s="226"/>
      <c r="G32" s="237"/>
      <c r="H32" s="226"/>
      <c r="I32" s="237"/>
      <c r="J32" s="226"/>
      <c r="K32" s="237"/>
      <c r="L32" s="226"/>
      <c r="M32" s="237"/>
      <c r="N32" s="226"/>
      <c r="O32" s="237"/>
      <c r="P32" s="226"/>
      <c r="Q32" s="237"/>
      <c r="R32" s="226"/>
      <c r="S32" s="237"/>
      <c r="T32" s="226"/>
      <c r="U32" s="237"/>
      <c r="V32" s="226"/>
      <c r="W32" s="237"/>
      <c r="X32" s="226"/>
      <c r="Y32" s="237"/>
      <c r="Z32" s="226"/>
      <c r="AA32" s="284"/>
      <c r="AB32" s="279"/>
    </row>
    <row r="33" spans="1:29" s="216" customFormat="1" ht="15.75" x14ac:dyDescent="0.3">
      <c r="A33" s="230" t="s">
        <v>72</v>
      </c>
      <c r="C33" s="237">
        <v>43695.39</v>
      </c>
      <c r="D33" s="226"/>
      <c r="E33" s="237">
        <v>37325.629999999997</v>
      </c>
      <c r="F33" s="226"/>
      <c r="G33" s="237">
        <v>51277.58</v>
      </c>
      <c r="H33" s="226"/>
      <c r="I33" s="237">
        <v>40647.49</v>
      </c>
      <c r="J33" s="226"/>
      <c r="K33" s="237">
        <v>46611</v>
      </c>
      <c r="L33" s="226"/>
      <c r="M33" s="237">
        <v>38211.370000000003</v>
      </c>
      <c r="N33" s="226"/>
      <c r="O33" s="237">
        <v>42374.76</v>
      </c>
      <c r="P33" s="226"/>
      <c r="Q33" s="237">
        <v>48699.65</v>
      </c>
      <c r="R33" s="226"/>
      <c r="S33" s="237">
        <v>36634.769999999997</v>
      </c>
      <c r="T33" s="226"/>
      <c r="U33" s="237">
        <v>43814.83</v>
      </c>
      <c r="V33" s="226"/>
      <c r="W33" s="237">
        <v>59307.21</v>
      </c>
      <c r="X33" s="226"/>
      <c r="Y33" s="290">
        <v>48764.86</v>
      </c>
      <c r="Z33" s="226"/>
      <c r="AA33" s="284"/>
      <c r="AB33" s="279"/>
    </row>
    <row r="34" spans="1:29" s="216" customFormat="1" ht="15.75" x14ac:dyDescent="0.3">
      <c r="A34" s="218" t="s">
        <v>262</v>
      </c>
      <c r="B34" s="219"/>
      <c r="C34" s="237"/>
      <c r="D34" s="210"/>
      <c r="E34" s="220"/>
      <c r="F34" s="210"/>
      <c r="G34" s="220"/>
      <c r="H34" s="210"/>
      <c r="I34" s="220"/>
      <c r="J34" s="210"/>
      <c r="K34" s="220"/>
      <c r="L34" s="210"/>
      <c r="M34" s="220"/>
      <c r="N34" s="210"/>
      <c r="O34" s="220"/>
      <c r="P34" s="210"/>
      <c r="Q34" s="220"/>
      <c r="R34" s="210"/>
      <c r="S34" s="220"/>
      <c r="T34" s="210"/>
      <c r="U34" s="220"/>
      <c r="V34" s="210"/>
      <c r="W34" s="220"/>
      <c r="X34" s="210"/>
      <c r="Y34" s="220"/>
      <c r="Z34" s="210"/>
      <c r="AA34" s="284"/>
      <c r="AB34" s="279"/>
      <c r="AC34" s="224"/>
    </row>
    <row r="35" spans="1:29" s="216" customFormat="1" ht="15.75" x14ac:dyDescent="0.3">
      <c r="A35" s="218" t="s">
        <v>263</v>
      </c>
      <c r="B35" s="219"/>
      <c r="C35" s="237">
        <v>8982</v>
      </c>
      <c r="D35" s="210"/>
      <c r="E35" s="220">
        <v>8982</v>
      </c>
      <c r="F35" s="210"/>
      <c r="G35" s="220">
        <v>8982</v>
      </c>
      <c r="H35" s="210"/>
      <c r="I35" s="220">
        <v>8982</v>
      </c>
      <c r="J35" s="210"/>
      <c r="K35" s="220">
        <v>8982</v>
      </c>
      <c r="L35" s="210"/>
      <c r="M35" s="220">
        <v>8982</v>
      </c>
      <c r="N35" s="210"/>
      <c r="O35" s="220">
        <v>8982</v>
      </c>
      <c r="P35" s="210"/>
      <c r="Q35" s="220">
        <v>8982</v>
      </c>
      <c r="R35" s="210"/>
      <c r="S35" s="220">
        <v>8982</v>
      </c>
      <c r="T35" s="210"/>
      <c r="U35" s="220">
        <v>8982</v>
      </c>
      <c r="V35" s="210"/>
      <c r="W35" s="220">
        <v>8982</v>
      </c>
      <c r="X35" s="210"/>
      <c r="Y35" s="289">
        <v>8982</v>
      </c>
      <c r="Z35" s="210"/>
      <c r="AA35" s="284"/>
      <c r="AB35" s="279"/>
      <c r="AC35" s="224"/>
    </row>
    <row r="36" spans="1:29" s="216" customFormat="1" ht="15.75" x14ac:dyDescent="0.3">
      <c r="A36" s="218" t="s">
        <v>183</v>
      </c>
      <c r="B36" s="219"/>
      <c r="C36" s="237">
        <v>4500</v>
      </c>
      <c r="D36" s="210"/>
      <c r="E36" s="220">
        <v>4500</v>
      </c>
      <c r="F36" s="210"/>
      <c r="G36" s="220">
        <v>9000</v>
      </c>
      <c r="H36" s="210"/>
      <c r="I36" s="220">
        <v>4500</v>
      </c>
      <c r="J36" s="210"/>
      <c r="K36" s="220"/>
      <c r="L36" s="210"/>
      <c r="M36" s="220">
        <v>8250</v>
      </c>
      <c r="N36" s="210"/>
      <c r="O36" s="220">
        <v>5750</v>
      </c>
      <c r="P36" s="210"/>
      <c r="Q36" s="220">
        <v>4500</v>
      </c>
      <c r="R36" s="210"/>
      <c r="S36" s="220">
        <v>4500</v>
      </c>
      <c r="T36" s="210"/>
      <c r="U36" s="220">
        <v>5500</v>
      </c>
      <c r="V36" s="210"/>
      <c r="W36" s="220">
        <v>11250</v>
      </c>
      <c r="X36" s="210"/>
      <c r="Y36" s="289">
        <v>6750</v>
      </c>
      <c r="Z36" s="210"/>
      <c r="AA36" s="284"/>
      <c r="AB36" s="279"/>
      <c r="AC36" s="224"/>
    </row>
    <row r="37" spans="1:29" s="216" customFormat="1" ht="15.75" x14ac:dyDescent="0.3">
      <c r="A37" s="218" t="s">
        <v>264</v>
      </c>
      <c r="B37" s="219"/>
      <c r="C37" s="237">
        <v>7205</v>
      </c>
      <c r="D37" s="210"/>
      <c r="E37" s="220">
        <v>26943.08</v>
      </c>
      <c r="F37" s="210"/>
      <c r="G37" s="220">
        <v>17836</v>
      </c>
      <c r="H37" s="210"/>
      <c r="I37" s="220">
        <v>38205.31</v>
      </c>
      <c r="J37" s="210"/>
      <c r="K37" s="220">
        <v>19815.05</v>
      </c>
      <c r="L37" s="210"/>
      <c r="M37" s="220">
        <v>10428</v>
      </c>
      <c r="N37" s="210"/>
      <c r="O37" s="220">
        <v>36333.870000000003</v>
      </c>
      <c r="P37" s="210"/>
      <c r="Q37" s="220">
        <v>13702.49</v>
      </c>
      <c r="R37" s="210"/>
      <c r="S37" s="220">
        <v>7602.35</v>
      </c>
      <c r="T37" s="210"/>
      <c r="U37" s="220">
        <v>20490.740000000002</v>
      </c>
      <c r="V37" s="210"/>
      <c r="W37" s="220">
        <v>9420</v>
      </c>
      <c r="X37" s="210"/>
      <c r="Y37" s="289">
        <v>28341.41</v>
      </c>
      <c r="Z37" s="210"/>
      <c r="AA37" s="284"/>
      <c r="AB37" s="279"/>
      <c r="AC37" s="224"/>
    </row>
    <row r="38" spans="1:29" s="216" customFormat="1" ht="15.75" x14ac:dyDescent="0.3">
      <c r="A38" s="218" t="s">
        <v>276</v>
      </c>
      <c r="B38" s="219"/>
      <c r="C38" s="237">
        <v>46865.81</v>
      </c>
      <c r="D38" s="210"/>
      <c r="E38" s="220">
        <v>803786.44</v>
      </c>
      <c r="F38" s="210"/>
      <c r="G38" s="220">
        <v>387746.24</v>
      </c>
      <c r="H38" s="210"/>
      <c r="I38" s="220">
        <v>416707.45</v>
      </c>
      <c r="J38" s="210"/>
      <c r="K38" s="220">
        <v>423464.65</v>
      </c>
      <c r="L38" s="210"/>
      <c r="M38" s="220">
        <v>706348.23</v>
      </c>
      <c r="N38" s="210"/>
      <c r="O38" s="220">
        <v>377580.89</v>
      </c>
      <c r="P38" s="210"/>
      <c r="Q38" s="220">
        <v>468071.59</v>
      </c>
      <c r="R38" s="210"/>
      <c r="S38" s="220">
        <v>304902.26</v>
      </c>
      <c r="T38" s="210"/>
      <c r="U38" s="220">
        <v>398124.71</v>
      </c>
      <c r="V38" s="210"/>
      <c r="W38" s="220">
        <v>179428.1</v>
      </c>
      <c r="X38" s="210"/>
      <c r="Y38" s="289">
        <v>644053.21</v>
      </c>
      <c r="Z38" s="210"/>
      <c r="AA38" s="284"/>
      <c r="AB38" s="279"/>
      <c r="AC38" s="224"/>
    </row>
    <row r="39" spans="1:29" s="216" customFormat="1" ht="15.75" x14ac:dyDescent="0.3">
      <c r="A39" s="230" t="s">
        <v>286</v>
      </c>
      <c r="B39" s="219"/>
      <c r="C39" s="237">
        <v>25930.61</v>
      </c>
      <c r="D39" s="210"/>
      <c r="E39" s="220">
        <v>17357.060000000001</v>
      </c>
      <c r="F39" s="210"/>
      <c r="G39" s="220">
        <v>26033.75</v>
      </c>
      <c r="H39" s="210"/>
      <c r="I39" s="220">
        <v>23903.5</v>
      </c>
      <c r="J39" s="210"/>
      <c r="K39" s="220">
        <v>36434.04</v>
      </c>
      <c r="L39" s="210"/>
      <c r="M39" s="220">
        <v>16049.45</v>
      </c>
      <c r="N39" s="210"/>
      <c r="O39" s="220">
        <v>32370.05</v>
      </c>
      <c r="P39" s="210"/>
      <c r="Q39" s="220">
        <v>34095.33</v>
      </c>
      <c r="R39" s="210"/>
      <c r="S39" s="220">
        <v>32671.97</v>
      </c>
      <c r="T39" s="210"/>
      <c r="U39" s="220">
        <v>31039.27</v>
      </c>
      <c r="V39" s="210"/>
      <c r="W39" s="220">
        <v>38292.94</v>
      </c>
      <c r="X39" s="210"/>
      <c r="Y39" s="289">
        <v>23209.63</v>
      </c>
      <c r="Z39" s="210"/>
      <c r="AA39" s="284"/>
      <c r="AB39" s="279"/>
      <c r="AC39" s="224"/>
    </row>
    <row r="40" spans="1:29" s="216" customFormat="1" ht="15.75" x14ac:dyDescent="0.3">
      <c r="A40" s="218" t="s">
        <v>275</v>
      </c>
      <c r="B40" s="219"/>
      <c r="C40" s="237">
        <v>2316.5100000000002</v>
      </c>
      <c r="D40" s="210"/>
      <c r="E40" s="220">
        <v>1463.48</v>
      </c>
      <c r="F40" s="210"/>
      <c r="G40" s="220">
        <v>1152.5</v>
      </c>
      <c r="H40" s="210"/>
      <c r="I40" s="220">
        <v>1584.72</v>
      </c>
      <c r="J40" s="210"/>
      <c r="K40" s="220">
        <v>1138.1099999999999</v>
      </c>
      <c r="L40" s="210"/>
      <c r="M40" s="220">
        <v>1011.3</v>
      </c>
      <c r="N40" s="210"/>
      <c r="O40" s="220">
        <v>1433.71</v>
      </c>
      <c r="P40" s="210"/>
      <c r="Q40" s="220">
        <v>1006.7</v>
      </c>
      <c r="R40" s="210"/>
      <c r="S40" s="220">
        <v>1309.0999999999999</v>
      </c>
      <c r="T40" s="210"/>
      <c r="U40" s="220">
        <v>2658.9</v>
      </c>
      <c r="V40" s="210"/>
      <c r="W40" s="220">
        <v>1005.8</v>
      </c>
      <c r="X40" s="210"/>
      <c r="Y40" s="289">
        <v>1313.3</v>
      </c>
      <c r="Z40" s="210"/>
      <c r="AA40" s="284"/>
      <c r="AB40" s="279"/>
      <c r="AC40" s="224"/>
    </row>
    <row r="41" spans="1:29" s="216" customFormat="1" ht="15.75" x14ac:dyDescent="0.3">
      <c r="A41" s="218" t="s">
        <v>274</v>
      </c>
      <c r="B41" s="219"/>
      <c r="C41" s="237">
        <v>87745.26</v>
      </c>
      <c r="D41" s="210"/>
      <c r="E41" s="220">
        <v>39630.36</v>
      </c>
      <c r="F41" s="210"/>
      <c r="G41" s="220">
        <v>34719.32</v>
      </c>
      <c r="H41" s="210"/>
      <c r="I41" s="220">
        <v>50625.94</v>
      </c>
      <c r="J41" s="210"/>
      <c r="K41" s="220">
        <v>42546.01</v>
      </c>
      <c r="L41" s="210"/>
      <c r="M41" s="220">
        <v>77526.42</v>
      </c>
      <c r="N41" s="210"/>
      <c r="O41" s="220">
        <v>38553.82</v>
      </c>
      <c r="P41" s="210"/>
      <c r="Q41" s="220">
        <v>77158.97</v>
      </c>
      <c r="R41" s="210"/>
      <c r="S41" s="220">
        <v>89619.09</v>
      </c>
      <c r="T41" s="210"/>
      <c r="U41" s="220">
        <v>47388.47</v>
      </c>
      <c r="V41" s="210"/>
      <c r="W41" s="220">
        <v>63444.43</v>
      </c>
      <c r="X41" s="210"/>
      <c r="Y41" s="290">
        <v>44164.39</v>
      </c>
      <c r="Z41" s="210"/>
      <c r="AA41" s="284"/>
      <c r="AB41" s="279"/>
      <c r="AC41" s="224"/>
    </row>
    <row r="42" spans="1:29" s="216" customFormat="1" ht="15.75" x14ac:dyDescent="0.3">
      <c r="A42" s="218" t="s">
        <v>278</v>
      </c>
      <c r="B42" s="219"/>
      <c r="C42" s="237">
        <v>20000</v>
      </c>
      <c r="D42" s="210"/>
      <c r="E42" s="220">
        <v>20000</v>
      </c>
      <c r="F42" s="210"/>
      <c r="G42" s="220">
        <v>20000</v>
      </c>
      <c r="H42" s="210"/>
      <c r="I42" s="220">
        <v>20000</v>
      </c>
      <c r="J42" s="210"/>
      <c r="K42" s="220"/>
      <c r="L42" s="210"/>
      <c r="M42" s="220"/>
      <c r="N42" s="210"/>
      <c r="O42" s="220"/>
      <c r="P42" s="210"/>
      <c r="Q42" s="220">
        <v>2100</v>
      </c>
      <c r="R42" s="210"/>
      <c r="S42" s="220">
        <v>2100</v>
      </c>
      <c r="T42" s="210"/>
      <c r="U42" s="220">
        <v>2100</v>
      </c>
      <c r="V42" s="210"/>
      <c r="W42" s="220">
        <v>27419.21</v>
      </c>
      <c r="X42" s="210"/>
      <c r="Y42" s="289">
        <v>2100</v>
      </c>
      <c r="Z42" s="210"/>
      <c r="AA42" s="284"/>
      <c r="AB42" s="279"/>
      <c r="AC42" s="224"/>
    </row>
    <row r="43" spans="1:29" s="216" customFormat="1" ht="15.75" x14ac:dyDescent="0.3">
      <c r="A43" s="250" t="s">
        <v>32</v>
      </c>
      <c r="B43" s="224"/>
      <c r="C43" s="281">
        <f>SUM(C18:C42)</f>
        <v>1048471.32</v>
      </c>
      <c r="D43" s="231"/>
      <c r="E43" s="281">
        <f t="shared" ref="E43:Y43" si="0">SUM(E18:E42)</f>
        <v>1690314.59</v>
      </c>
      <c r="F43" s="281">
        <f t="shared" si="0"/>
        <v>0</v>
      </c>
      <c r="G43" s="281">
        <f t="shared" si="0"/>
        <v>1314911.6500000001</v>
      </c>
      <c r="H43" s="281">
        <f t="shared" si="0"/>
        <v>0</v>
      </c>
      <c r="I43" s="281">
        <f t="shared" si="0"/>
        <v>1387459.0799999998</v>
      </c>
      <c r="J43" s="281">
        <f t="shared" si="0"/>
        <v>0</v>
      </c>
      <c r="K43" s="281">
        <f t="shared" si="0"/>
        <v>1414831.1700000004</v>
      </c>
      <c r="L43" s="281">
        <f t="shared" si="0"/>
        <v>0</v>
      </c>
      <c r="M43" s="281">
        <f t="shared" si="0"/>
        <v>1624853.8199999998</v>
      </c>
      <c r="N43" s="281">
        <f t="shared" si="0"/>
        <v>0</v>
      </c>
      <c r="O43" s="281">
        <f t="shared" si="0"/>
        <v>1314673.1400000001</v>
      </c>
      <c r="P43" s="281">
        <f t="shared" si="0"/>
        <v>0</v>
      </c>
      <c r="Q43" s="281">
        <f t="shared" si="0"/>
        <v>1469119.22</v>
      </c>
      <c r="R43" s="281">
        <f t="shared" si="0"/>
        <v>0</v>
      </c>
      <c r="S43" s="281">
        <f t="shared" si="0"/>
        <v>1243888.19</v>
      </c>
      <c r="T43" s="281">
        <f t="shared" si="0"/>
        <v>0</v>
      </c>
      <c r="U43" s="281">
        <f t="shared" si="0"/>
        <v>1374029.94</v>
      </c>
      <c r="V43" s="281">
        <f t="shared" si="0"/>
        <v>0</v>
      </c>
      <c r="W43" s="281">
        <f t="shared" si="0"/>
        <v>1179342.19</v>
      </c>
      <c r="X43" s="281">
        <f t="shared" si="0"/>
        <v>0</v>
      </c>
      <c r="Y43" s="281">
        <f t="shared" si="0"/>
        <v>1512489.3099999998</v>
      </c>
      <c r="Z43" s="231"/>
      <c r="AA43" s="281"/>
      <c r="AB43" s="277"/>
      <c r="AC43" s="224"/>
    </row>
    <row r="44" spans="1:29" x14ac:dyDescent="0.25">
      <c r="AB44" s="233"/>
      <c r="AC44" s="233"/>
    </row>
    <row r="45" spans="1:29" ht="10.5" customHeight="1" x14ac:dyDescent="0.35">
      <c r="A45" s="238"/>
      <c r="AB45" s="233"/>
      <c r="AC45" s="233"/>
    </row>
    <row r="46" spans="1:29" s="226" customFormat="1" ht="21" x14ac:dyDescent="0.35">
      <c r="A46" s="287" t="s">
        <v>206</v>
      </c>
      <c r="C46" s="275">
        <f>SUM(C10)</f>
        <v>1278186.47</v>
      </c>
      <c r="D46" s="231"/>
      <c r="E46" s="275">
        <f>SUM(E10)</f>
        <v>1493186.47</v>
      </c>
      <c r="F46" s="231"/>
      <c r="G46" s="275">
        <f>SUM(G10)</f>
        <v>1563186.47</v>
      </c>
      <c r="H46" s="231"/>
      <c r="I46" s="275">
        <f>SUM(I10)</f>
        <v>1251186.47</v>
      </c>
      <c r="J46" s="231"/>
      <c r="K46" s="275">
        <f>SUM(K10)</f>
        <v>1580026.47</v>
      </c>
      <c r="L46" s="231"/>
      <c r="M46" s="275">
        <f>SUM(M10)</f>
        <v>1218186.47</v>
      </c>
      <c r="N46" s="231"/>
      <c r="O46" s="275">
        <f>SUM(O10)</f>
        <v>901346.47</v>
      </c>
      <c r="P46" s="231"/>
      <c r="Q46" s="275">
        <f>SUM(Q10)</f>
        <v>1215510.3700000001</v>
      </c>
      <c r="R46" s="231"/>
      <c r="S46" s="275">
        <f>SUM(S10)</f>
        <v>943186.47</v>
      </c>
      <c r="T46" s="231"/>
      <c r="U46" s="275">
        <f>SUM(U10)</f>
        <v>1218186.47</v>
      </c>
      <c r="V46" s="231"/>
      <c r="W46" s="275">
        <f>SUM(W10)</f>
        <v>856346.47</v>
      </c>
      <c r="X46" s="231"/>
      <c r="Y46" s="275">
        <f>SUM(Y10)</f>
        <v>2001866.47</v>
      </c>
      <c r="Z46" s="231"/>
      <c r="AA46" s="275"/>
      <c r="AB46" s="277"/>
      <c r="AC46" s="233"/>
    </row>
    <row r="47" spans="1:29" s="226" customFormat="1" ht="21" x14ac:dyDescent="0.35">
      <c r="A47" s="288" t="s">
        <v>231</v>
      </c>
      <c r="B47" s="247"/>
      <c r="C47" s="281">
        <f>SUM(C43)</f>
        <v>1048471.32</v>
      </c>
      <c r="D47" s="231"/>
      <c r="E47" s="281">
        <f>SUM(E43)</f>
        <v>1690314.59</v>
      </c>
      <c r="F47" s="231"/>
      <c r="G47" s="281">
        <f>SUM(G43)</f>
        <v>1314911.6500000001</v>
      </c>
      <c r="H47" s="231"/>
      <c r="I47" s="281">
        <f>SUM(I43)</f>
        <v>1387459.0799999998</v>
      </c>
      <c r="J47" s="231"/>
      <c r="K47" s="281">
        <f>SUM(K43)</f>
        <v>1414831.1700000004</v>
      </c>
      <c r="L47" s="231"/>
      <c r="M47" s="281">
        <f>SUM(M43)</f>
        <v>1624853.8199999998</v>
      </c>
      <c r="N47" s="231"/>
      <c r="O47" s="281">
        <f>SUM(O43)</f>
        <v>1314673.1400000001</v>
      </c>
      <c r="P47" s="231"/>
      <c r="Q47" s="281">
        <f>SUM(Q43)</f>
        <v>1469119.22</v>
      </c>
      <c r="R47" s="231"/>
      <c r="S47" s="281">
        <f>SUM(S43)</f>
        <v>1243888.19</v>
      </c>
      <c r="T47" s="231"/>
      <c r="U47" s="281">
        <f>SUM(U43)</f>
        <v>1374029.94</v>
      </c>
      <c r="V47" s="231"/>
      <c r="W47" s="281">
        <f>SUM(W43)</f>
        <v>1179342.19</v>
      </c>
      <c r="X47" s="231"/>
      <c r="Y47" s="281">
        <f>SUM(Y43)</f>
        <v>1512489.3099999998</v>
      </c>
      <c r="Z47" s="231"/>
      <c r="AA47" s="281"/>
      <c r="AB47" s="277"/>
      <c r="AC47" s="247"/>
    </row>
    <row r="48" spans="1:29" s="216" customFormat="1" ht="15.75" x14ac:dyDescent="0.3">
      <c r="A48" s="250" t="s">
        <v>32</v>
      </c>
      <c r="B48" s="224"/>
      <c r="C48" s="249">
        <f>SUM(C46-C47)</f>
        <v>229715.15000000002</v>
      </c>
      <c r="D48" s="249"/>
      <c r="E48" s="249">
        <f>SUM(E46-E47)</f>
        <v>-197128.12000000011</v>
      </c>
      <c r="F48" s="249"/>
      <c r="G48" s="249">
        <f>SUM(G46-G47)</f>
        <v>248274.81999999983</v>
      </c>
      <c r="H48" s="249"/>
      <c r="I48" s="249">
        <f>SUM(I46-I47)</f>
        <v>-136272.60999999987</v>
      </c>
      <c r="J48" s="249"/>
      <c r="K48" s="249">
        <f>SUM(K46-K47)</f>
        <v>165195.29999999958</v>
      </c>
      <c r="L48" s="249"/>
      <c r="M48" s="249">
        <f>SUM(M46-M47)</f>
        <v>-406667.34999999986</v>
      </c>
      <c r="N48" s="249"/>
      <c r="O48" s="249">
        <f>SUM(O46-O47)</f>
        <v>-413326.67000000016</v>
      </c>
      <c r="P48" s="249"/>
      <c r="Q48" s="249">
        <f>SUM(Q46-Q47)</f>
        <v>-253608.84999999986</v>
      </c>
      <c r="R48" s="249"/>
      <c r="S48" s="249">
        <f>SUM(S46-S47)</f>
        <v>-300701.71999999997</v>
      </c>
      <c r="T48" s="249"/>
      <c r="U48" s="249">
        <f>SUM(U46-U47)</f>
        <v>-155843.46999999997</v>
      </c>
      <c r="V48" s="249"/>
      <c r="W48" s="249">
        <f>SUM(W46-W47)</f>
        <v>-322995.71999999997</v>
      </c>
      <c r="X48" s="249"/>
      <c r="Y48" s="249">
        <f>SUM(Y46-Y47)</f>
        <v>489377.16000000015</v>
      </c>
      <c r="Z48" s="249"/>
      <c r="AA48" s="249"/>
      <c r="AB48" s="280"/>
      <c r="AC48" s="224"/>
    </row>
    <row r="49" spans="1:29" x14ac:dyDescent="0.25">
      <c r="AA49" s="256"/>
      <c r="AB49" s="256"/>
      <c r="AC49" s="229"/>
    </row>
    <row r="58" spans="1:29" s="227" customFormat="1" x14ac:dyDescent="0.25">
      <c r="A58" s="311"/>
      <c r="B58" s="311"/>
      <c r="C58" s="311"/>
      <c r="D58" s="311"/>
      <c r="E58" s="311"/>
      <c r="F58" s="311"/>
      <c r="G58" s="311"/>
      <c r="H58" s="311"/>
      <c r="I58" s="311"/>
      <c r="J58" s="311"/>
      <c r="K58" s="311"/>
      <c r="L58" s="311"/>
      <c r="M58" s="311"/>
      <c r="N58" s="311"/>
      <c r="O58" s="311"/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1"/>
      <c r="AA58" s="311"/>
      <c r="AB58" s="226"/>
      <c r="AC58" s="210"/>
    </row>
    <row r="59" spans="1:29" s="227" customFormat="1" x14ac:dyDescent="0.25">
      <c r="A59" s="311"/>
      <c r="B59" s="311"/>
      <c r="C59" s="311"/>
      <c r="D59" s="311"/>
      <c r="E59" s="311"/>
      <c r="F59" s="311"/>
      <c r="G59" s="311"/>
      <c r="H59" s="311"/>
      <c r="I59" s="311"/>
      <c r="J59" s="311"/>
      <c r="K59" s="311"/>
      <c r="L59" s="311"/>
      <c r="M59" s="311"/>
      <c r="N59" s="311"/>
      <c r="O59" s="311"/>
      <c r="P59" s="311"/>
      <c r="Q59" s="311"/>
      <c r="R59" s="311"/>
      <c r="S59" s="311"/>
      <c r="T59" s="311"/>
      <c r="U59" s="311"/>
      <c r="V59" s="311"/>
      <c r="W59" s="311"/>
      <c r="X59" s="311"/>
      <c r="Y59" s="311"/>
      <c r="Z59" s="311"/>
      <c r="AA59" s="311"/>
      <c r="AB59" s="226"/>
      <c r="AC59" s="210"/>
    </row>
    <row r="60" spans="1:29" s="227" customFormat="1" x14ac:dyDescent="0.25">
      <c r="A60" s="311"/>
      <c r="B60" s="311"/>
      <c r="C60" s="311"/>
      <c r="D60" s="311"/>
      <c r="E60" s="311"/>
      <c r="F60" s="311"/>
      <c r="G60" s="311"/>
      <c r="H60" s="311"/>
      <c r="I60" s="311"/>
      <c r="J60" s="311"/>
      <c r="K60" s="311"/>
      <c r="L60" s="311"/>
      <c r="M60" s="311"/>
      <c r="N60" s="311"/>
      <c r="O60" s="311"/>
      <c r="P60" s="311"/>
      <c r="Q60" s="311"/>
      <c r="R60" s="311"/>
      <c r="S60" s="311"/>
      <c r="T60" s="311"/>
      <c r="U60" s="311"/>
      <c r="V60" s="311"/>
      <c r="W60" s="311"/>
      <c r="X60" s="311"/>
      <c r="Y60" s="311"/>
      <c r="Z60" s="311"/>
      <c r="AA60" s="311"/>
      <c r="AB60" s="226"/>
      <c r="AC60" s="210"/>
    </row>
  </sheetData>
  <mergeCells count="9">
    <mergeCell ref="A59:AA59"/>
    <mergeCell ref="A60:AA60"/>
    <mergeCell ref="C5:Y5"/>
    <mergeCell ref="C15:Y15"/>
    <mergeCell ref="A1:AA1"/>
    <mergeCell ref="A2:AA2"/>
    <mergeCell ref="A3:AA3"/>
    <mergeCell ref="A4:AA4"/>
    <mergeCell ref="A58:AA58"/>
  </mergeCells>
  <conditionalFormatting sqref="A43">
    <cfRule type="dataBar" priority="149">
      <dataBar>
        <cfvo type="min"/>
        <cfvo type="max"/>
        <color theme="0"/>
      </dataBar>
    </cfRule>
    <cfRule type="dataBar" priority="150">
      <dataBar>
        <cfvo type="min"/>
        <cfvo type="max"/>
        <color theme="0"/>
      </dataBar>
    </cfRule>
  </conditionalFormatting>
  <conditionalFormatting sqref="A43">
    <cfRule type="dataBar" priority="146">
      <dataBar>
        <cfvo type="min"/>
        <cfvo type="max"/>
        <color rgb="FFFF555A"/>
      </dataBar>
    </cfRule>
    <cfRule type="iconSet" priority="147">
      <iconSet iconSet="4TrafficLights">
        <cfvo type="percent" val="0"/>
        <cfvo type="percent" val="25"/>
        <cfvo type="percent" val="50"/>
        <cfvo type="percent" val="75"/>
      </iconSet>
    </cfRule>
    <cfRule type="dataBar" priority="148">
      <dataBar>
        <cfvo type="min"/>
        <cfvo type="max"/>
        <color rgb="FF638EC6"/>
      </dataBar>
    </cfRule>
  </conditionalFormatting>
  <conditionalFormatting sqref="A28:A29">
    <cfRule type="dataBar" priority="131">
      <dataBar>
        <cfvo type="min"/>
        <cfvo type="max"/>
        <color theme="0"/>
      </dataBar>
    </cfRule>
    <cfRule type="dataBar" priority="132">
      <dataBar>
        <cfvo type="min"/>
        <cfvo type="max"/>
        <color theme="0"/>
      </dataBar>
    </cfRule>
  </conditionalFormatting>
  <conditionalFormatting sqref="A28:A29">
    <cfRule type="dataBar" priority="133">
      <dataBar>
        <cfvo type="min"/>
        <cfvo type="max"/>
        <color rgb="FFFF555A"/>
      </dataBar>
    </cfRule>
    <cfRule type="iconSet" priority="134">
      <iconSet iconSet="4TrafficLights">
        <cfvo type="percent" val="0"/>
        <cfvo type="percent" val="25"/>
        <cfvo type="percent" val="50"/>
        <cfvo type="percent" val="75"/>
      </iconSet>
    </cfRule>
    <cfRule type="dataBar" priority="135">
      <dataBar>
        <cfvo type="min"/>
        <cfvo type="max"/>
        <color rgb="FF638EC6"/>
      </dataBar>
    </cfRule>
  </conditionalFormatting>
  <conditionalFormatting sqref="A30">
    <cfRule type="dataBar" priority="126">
      <dataBar>
        <cfvo type="min"/>
        <cfvo type="max"/>
        <color theme="0"/>
      </dataBar>
    </cfRule>
    <cfRule type="dataBar" priority="127">
      <dataBar>
        <cfvo type="min"/>
        <cfvo type="max"/>
        <color theme="0"/>
      </dataBar>
    </cfRule>
  </conditionalFormatting>
  <conditionalFormatting sqref="A30">
    <cfRule type="dataBar" priority="128">
      <dataBar>
        <cfvo type="min"/>
        <cfvo type="max"/>
        <color rgb="FFFF555A"/>
      </dataBar>
    </cfRule>
    <cfRule type="iconSet" priority="129">
      <iconSet iconSet="4TrafficLights">
        <cfvo type="percent" val="0"/>
        <cfvo type="percent" val="25"/>
        <cfvo type="percent" val="50"/>
        <cfvo type="percent" val="75"/>
      </iconSet>
    </cfRule>
    <cfRule type="dataBar" priority="130">
      <dataBar>
        <cfvo type="min"/>
        <cfvo type="max"/>
        <color rgb="FF638EC6"/>
      </dataBar>
    </cfRule>
  </conditionalFormatting>
  <conditionalFormatting sqref="A31">
    <cfRule type="dataBar" priority="124">
      <dataBar>
        <cfvo type="min"/>
        <cfvo type="max"/>
        <color theme="0"/>
      </dataBar>
    </cfRule>
    <cfRule type="dataBar" priority="125">
      <dataBar>
        <cfvo type="min"/>
        <cfvo type="max"/>
        <color theme="0"/>
      </dataBar>
    </cfRule>
  </conditionalFormatting>
  <conditionalFormatting sqref="A31">
    <cfRule type="dataBar" priority="121">
      <dataBar>
        <cfvo type="min"/>
        <cfvo type="max"/>
        <color rgb="FFFF555A"/>
      </dataBar>
    </cfRule>
    <cfRule type="iconSet" priority="122">
      <iconSet iconSet="4TrafficLights">
        <cfvo type="percent" val="0"/>
        <cfvo type="percent" val="25"/>
        <cfvo type="percent" val="50"/>
        <cfvo type="percent" val="75"/>
      </iconSet>
    </cfRule>
    <cfRule type="dataBar" priority="123">
      <dataBar>
        <cfvo type="min"/>
        <cfvo type="max"/>
        <color rgb="FF638EC6"/>
      </dataBar>
    </cfRule>
  </conditionalFormatting>
  <conditionalFormatting sqref="A38">
    <cfRule type="dataBar" priority="39">
      <dataBar>
        <cfvo type="min"/>
        <cfvo type="max"/>
        <color theme="0"/>
      </dataBar>
    </cfRule>
    <cfRule type="dataBar" priority="40">
      <dataBar>
        <cfvo type="min"/>
        <cfvo type="max"/>
        <color theme="0"/>
      </dataBar>
    </cfRule>
  </conditionalFormatting>
  <conditionalFormatting sqref="A38">
    <cfRule type="dataBar" priority="36">
      <dataBar>
        <cfvo type="min"/>
        <cfvo type="max"/>
        <color rgb="FFFF555A"/>
      </dataBar>
    </cfRule>
    <cfRule type="iconSet" priority="37">
      <iconSet iconSet="4TrafficLights">
        <cfvo type="percent" val="0"/>
        <cfvo type="percent" val="25"/>
        <cfvo type="percent" val="50"/>
        <cfvo type="percent" val="75"/>
      </iconSet>
    </cfRule>
    <cfRule type="dataBar" priority="38">
      <dataBar>
        <cfvo type="min"/>
        <cfvo type="max"/>
        <color rgb="FF638EC6"/>
      </dataBar>
    </cfRule>
  </conditionalFormatting>
  <conditionalFormatting sqref="A38">
    <cfRule type="dataBar" priority="44">
      <dataBar>
        <cfvo type="min"/>
        <cfvo type="max"/>
        <color theme="0"/>
      </dataBar>
    </cfRule>
    <cfRule type="dataBar" priority="45">
      <dataBar>
        <cfvo type="min"/>
        <cfvo type="max"/>
        <color theme="0"/>
      </dataBar>
    </cfRule>
  </conditionalFormatting>
  <conditionalFormatting sqref="A38">
    <cfRule type="dataBar" priority="41">
      <dataBar>
        <cfvo type="min"/>
        <cfvo type="max"/>
        <color rgb="FFFF555A"/>
      </dataBar>
    </cfRule>
    <cfRule type="iconSet" priority="42">
      <iconSet iconSet="4TrafficLights">
        <cfvo type="percent" val="0"/>
        <cfvo type="percent" val="25"/>
        <cfvo type="percent" val="50"/>
        <cfvo type="percent" val="75"/>
      </iconSet>
    </cfRule>
    <cfRule type="dataBar" priority="43">
      <dataBar>
        <cfvo type="min"/>
        <cfvo type="max"/>
        <color rgb="FF638EC6"/>
      </dataBar>
    </cfRule>
  </conditionalFormatting>
  <conditionalFormatting sqref="A18:A27">
    <cfRule type="dataBar" priority="151">
      <dataBar>
        <cfvo type="min"/>
        <cfvo type="max"/>
        <color theme="0"/>
      </dataBar>
    </cfRule>
    <cfRule type="dataBar" priority="152">
      <dataBar>
        <cfvo type="min"/>
        <cfvo type="max"/>
        <color theme="0"/>
      </dataBar>
    </cfRule>
  </conditionalFormatting>
  <conditionalFormatting sqref="A18:A27">
    <cfRule type="dataBar" priority="153">
      <dataBar>
        <cfvo type="min"/>
        <cfvo type="max"/>
        <color rgb="FFFF555A"/>
      </dataBar>
    </cfRule>
    <cfRule type="iconSet" priority="154">
      <iconSet iconSet="4TrafficLights">
        <cfvo type="percent" val="0"/>
        <cfvo type="percent" val="25"/>
        <cfvo type="percent" val="50"/>
        <cfvo type="percent" val="75"/>
      </iconSet>
    </cfRule>
    <cfRule type="dataBar" priority="155">
      <dataBar>
        <cfvo type="min"/>
        <cfvo type="max"/>
        <color rgb="FF638EC6"/>
      </dataBar>
    </cfRule>
  </conditionalFormatting>
  <conditionalFormatting sqref="A18:A27">
    <cfRule type="dataBar" priority="156">
      <dataBar>
        <cfvo type="min"/>
        <cfvo type="max"/>
        <color theme="0"/>
      </dataBar>
    </cfRule>
    <cfRule type="dataBar" priority="157">
      <dataBar>
        <cfvo type="min"/>
        <cfvo type="max"/>
        <color theme="0"/>
      </dataBar>
    </cfRule>
  </conditionalFormatting>
  <conditionalFormatting sqref="A18:A27">
    <cfRule type="dataBar" priority="158">
      <dataBar>
        <cfvo type="min"/>
        <cfvo type="max"/>
        <color rgb="FFFF555A"/>
      </dataBar>
    </cfRule>
    <cfRule type="iconSet" priority="159">
      <iconSet iconSet="4TrafficLights">
        <cfvo type="percent" val="0"/>
        <cfvo type="percent" val="25"/>
        <cfvo type="percent" val="50"/>
        <cfvo type="percent" val="75"/>
      </iconSet>
    </cfRule>
    <cfRule type="dataBar" priority="160">
      <dataBar>
        <cfvo type="min"/>
        <cfvo type="max"/>
        <color rgb="FF638EC6"/>
      </dataBar>
    </cfRule>
  </conditionalFormatting>
  <conditionalFormatting sqref="A48">
    <cfRule type="dataBar" priority="34">
      <dataBar>
        <cfvo type="min"/>
        <cfvo type="max"/>
        <color theme="0"/>
      </dataBar>
    </cfRule>
    <cfRule type="dataBar" priority="35">
      <dataBar>
        <cfvo type="min"/>
        <cfvo type="max"/>
        <color theme="0"/>
      </dataBar>
    </cfRule>
  </conditionalFormatting>
  <conditionalFormatting sqref="A48">
    <cfRule type="dataBar" priority="31">
      <dataBar>
        <cfvo type="min"/>
        <cfvo type="max"/>
        <color rgb="FFFF555A"/>
      </dataBar>
    </cfRule>
    <cfRule type="iconSet" priority="32">
      <iconSet iconSet="4TrafficLights">
        <cfvo type="percent" val="0"/>
        <cfvo type="percent" val="25"/>
        <cfvo type="percent" val="50"/>
        <cfvo type="percent" val="75"/>
      </iconSet>
    </cfRule>
    <cfRule type="dataBar" priority="33">
      <dataBar>
        <cfvo type="min"/>
        <cfvo type="max"/>
        <color rgb="FF638EC6"/>
      </dataBar>
    </cfRule>
  </conditionalFormatting>
  <conditionalFormatting sqref="A10">
    <cfRule type="dataBar" priority="24">
      <dataBar>
        <cfvo type="min"/>
        <cfvo type="max"/>
        <color theme="0"/>
      </dataBar>
    </cfRule>
    <cfRule type="dataBar" priority="25">
      <dataBar>
        <cfvo type="min"/>
        <cfvo type="max"/>
        <color theme="0"/>
      </dataBar>
    </cfRule>
  </conditionalFormatting>
  <conditionalFormatting sqref="A10">
    <cfRule type="dataBar" priority="21">
      <dataBar>
        <cfvo type="min"/>
        <cfvo type="max"/>
        <color rgb="FFFF555A"/>
      </dataBar>
    </cfRule>
    <cfRule type="iconSet" priority="22">
      <iconSet iconSet="4TrafficLights">
        <cfvo type="percent" val="0"/>
        <cfvo type="percent" val="25"/>
        <cfvo type="percent" val="50"/>
        <cfvo type="percent" val="75"/>
      </iconSet>
    </cfRule>
    <cfRule type="dataBar" priority="23">
      <dataBar>
        <cfvo type="min"/>
        <cfvo type="max"/>
        <color rgb="FF638EC6"/>
      </dataBar>
    </cfRule>
  </conditionalFormatting>
  <conditionalFormatting sqref="A34:A38">
    <cfRule type="dataBar" priority="862">
      <dataBar>
        <cfvo type="min"/>
        <cfvo type="max"/>
        <color theme="0"/>
      </dataBar>
    </cfRule>
    <cfRule type="dataBar" priority="863">
      <dataBar>
        <cfvo type="min"/>
        <cfvo type="max"/>
        <color theme="0"/>
      </dataBar>
    </cfRule>
  </conditionalFormatting>
  <conditionalFormatting sqref="A34:A38">
    <cfRule type="dataBar" priority="866">
      <dataBar>
        <cfvo type="min"/>
        <cfvo type="max"/>
        <color rgb="FFFF555A"/>
      </dataBar>
    </cfRule>
    <cfRule type="iconSet" priority="867">
      <iconSet iconSet="4TrafficLights">
        <cfvo type="percent" val="0"/>
        <cfvo type="percent" val="25"/>
        <cfvo type="percent" val="50"/>
        <cfvo type="percent" val="75"/>
      </iconSet>
    </cfRule>
    <cfRule type="dataBar" priority="868">
      <dataBar>
        <cfvo type="min"/>
        <cfvo type="max"/>
        <color rgb="FF638EC6"/>
      </dataBar>
    </cfRule>
  </conditionalFormatting>
  <conditionalFormatting sqref="A32:A33">
    <cfRule type="dataBar" priority="14">
      <dataBar>
        <cfvo type="min"/>
        <cfvo type="max"/>
        <color theme="0"/>
      </dataBar>
    </cfRule>
    <cfRule type="dataBar" priority="15">
      <dataBar>
        <cfvo type="min"/>
        <cfvo type="max"/>
        <color theme="0"/>
      </dataBar>
    </cfRule>
  </conditionalFormatting>
  <conditionalFormatting sqref="A32:A33">
    <cfRule type="dataBar" priority="11">
      <dataBar>
        <cfvo type="min"/>
        <cfvo type="max"/>
        <color rgb="FFFF555A"/>
      </dataBar>
    </cfRule>
    <cfRule type="iconSet" priority="12">
      <iconSet iconSet="4TrafficLights">
        <cfvo type="percent" val="0"/>
        <cfvo type="percent" val="25"/>
        <cfvo type="percent" val="50"/>
        <cfvo type="percent" val="75"/>
      </iconSet>
    </cfRule>
    <cfRule type="dataBar" priority="13">
      <dataBar>
        <cfvo type="min"/>
        <cfvo type="max"/>
        <color rgb="FF638EC6"/>
      </dataBar>
    </cfRule>
  </conditionalFormatting>
  <conditionalFormatting sqref="A32:A33">
    <cfRule type="dataBar" priority="19">
      <dataBar>
        <cfvo type="min"/>
        <cfvo type="max"/>
        <color theme="0"/>
      </dataBar>
    </cfRule>
    <cfRule type="dataBar" priority="20">
      <dataBar>
        <cfvo type="min"/>
        <cfvo type="max"/>
        <color theme="0"/>
      </dataBar>
    </cfRule>
  </conditionalFormatting>
  <conditionalFormatting sqref="A32:A33">
    <cfRule type="dataBar" priority="16">
      <dataBar>
        <cfvo type="min"/>
        <cfvo type="max"/>
        <color rgb="FFFF555A"/>
      </dataBar>
    </cfRule>
    <cfRule type="iconSet" priority="17">
      <iconSet iconSet="4TrafficLights">
        <cfvo type="percent" val="0"/>
        <cfvo type="percent" val="25"/>
        <cfvo type="percent" val="50"/>
        <cfvo type="percent" val="75"/>
      </iconSet>
    </cfRule>
    <cfRule type="dataBar" priority="18">
      <dataBar>
        <cfvo type="min"/>
        <cfvo type="max"/>
        <color rgb="FF638EC6"/>
      </dataBar>
    </cfRule>
  </conditionalFormatting>
  <conditionalFormatting sqref="A39:A41">
    <cfRule type="dataBar" priority="9">
      <dataBar>
        <cfvo type="min"/>
        <cfvo type="max"/>
        <color theme="0"/>
      </dataBar>
    </cfRule>
    <cfRule type="dataBar" priority="10">
      <dataBar>
        <cfvo type="min"/>
        <cfvo type="max"/>
        <color theme="0"/>
      </dataBar>
    </cfRule>
  </conditionalFormatting>
  <conditionalFormatting sqref="A39:A41">
    <cfRule type="dataBar" priority="6">
      <dataBar>
        <cfvo type="min"/>
        <cfvo type="max"/>
        <color rgb="FFFF555A"/>
      </dataBar>
    </cfRule>
    <cfRule type="iconSet" priority="7">
      <iconSet iconSet="4TrafficLights">
        <cfvo type="percent" val="0"/>
        <cfvo type="percent" val="25"/>
        <cfvo type="percent" val="50"/>
        <cfvo type="percent" val="75"/>
      </iconSet>
    </cfRule>
    <cfRule type="dataBar" priority="8">
      <dataBar>
        <cfvo type="min"/>
        <cfvo type="max"/>
        <color rgb="FF638EC6"/>
      </dataBar>
    </cfRule>
  </conditionalFormatting>
  <conditionalFormatting sqref="A42">
    <cfRule type="dataBar" priority="4">
      <dataBar>
        <cfvo type="min"/>
        <cfvo type="max"/>
        <color theme="0"/>
      </dataBar>
    </cfRule>
    <cfRule type="dataBar" priority="5">
      <dataBar>
        <cfvo type="min"/>
        <cfvo type="max"/>
        <color theme="0"/>
      </dataBar>
    </cfRule>
  </conditionalFormatting>
  <conditionalFormatting sqref="A42">
    <cfRule type="dataBar" priority="1">
      <dataBar>
        <cfvo type="min"/>
        <cfvo type="max"/>
        <color rgb="FFFF555A"/>
      </dataBar>
    </cfRule>
    <cfRule type="iconSet" priority="2">
      <iconSet iconSet="4TrafficLights">
        <cfvo type="percent" val="0"/>
        <cfvo type="percent" val="25"/>
        <cfvo type="percent" val="50"/>
        <cfvo type="percent" val="75"/>
      </iconSet>
    </cfRule>
    <cfRule type="dataBar" priority="3">
      <dataBar>
        <cfvo type="min"/>
        <cfvo type="max"/>
        <color rgb="FF638EC6"/>
      </dataBar>
    </cfRule>
  </conditionalFormatting>
  <pageMargins left="0" right="0" top="0" bottom="0" header="0" footer="0"/>
  <pageSetup paperSize="9" scale="5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00"/>
  </sheetPr>
  <dimension ref="A1:Y57"/>
  <sheetViews>
    <sheetView topLeftCell="F1" zoomScaleNormal="100" workbookViewId="0">
      <selection activeCell="N9" sqref="N9"/>
    </sheetView>
  </sheetViews>
  <sheetFormatPr defaultRowHeight="15" x14ac:dyDescent="0.25"/>
  <cols>
    <col min="1" max="1" width="24.42578125" style="210" customWidth="1"/>
    <col min="2" max="2" width="0.7109375" style="210" customWidth="1"/>
    <col min="3" max="3" width="15.85546875" style="210" bestFit="1" customWidth="1"/>
    <col min="4" max="4" width="15.7109375" style="210" customWidth="1"/>
    <col min="5" max="5" width="17" style="210" customWidth="1"/>
    <col min="6" max="6" width="15.42578125" style="210" customWidth="1"/>
    <col min="7" max="7" width="17" style="210" customWidth="1"/>
    <col min="8" max="8" width="18.140625" style="210" customWidth="1"/>
    <col min="9" max="12" width="15.85546875" style="210" bestFit="1" customWidth="1"/>
    <col min="13" max="13" width="17.5703125" style="210" customWidth="1"/>
    <col min="14" max="14" width="15.85546875" style="210" bestFit="1" customWidth="1"/>
    <col min="15" max="15" width="17.7109375" style="210" bestFit="1" customWidth="1"/>
    <col min="16" max="16" width="18" style="210" bestFit="1" customWidth="1"/>
    <col min="17" max="16384" width="9.140625" style="210"/>
  </cols>
  <sheetData>
    <row r="1" spans="1:17" ht="25.5" x14ac:dyDescent="0.35">
      <c r="A1" s="314" t="s">
        <v>281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02"/>
    </row>
    <row r="2" spans="1:17" s="211" customFormat="1" ht="15" customHeight="1" x14ac:dyDescent="0.2">
      <c r="A2" s="315" t="s">
        <v>289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235"/>
    </row>
    <row r="3" spans="1:17" s="211" customFormat="1" ht="15" customHeight="1" x14ac:dyDescent="0.2">
      <c r="A3" s="316" t="s">
        <v>282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03"/>
    </row>
    <row r="4" spans="1:17" s="211" customFormat="1" ht="15" customHeight="1" x14ac:dyDescent="0.2">
      <c r="A4" s="317" t="s">
        <v>290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03"/>
    </row>
    <row r="5" spans="1:17" ht="31.5" customHeight="1" x14ac:dyDescent="0.5">
      <c r="A5" s="212"/>
      <c r="B5" s="212"/>
      <c r="C5" s="319" t="s">
        <v>269</v>
      </c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</row>
    <row r="6" spans="1:17" s="244" customFormat="1" ht="33" customHeight="1" x14ac:dyDescent="0.45">
      <c r="A6" s="259" t="s">
        <v>206</v>
      </c>
      <c r="B6" s="243"/>
      <c r="C6" s="217">
        <v>43831</v>
      </c>
      <c r="D6" s="217">
        <v>43862</v>
      </c>
      <c r="E6" s="217">
        <v>43891</v>
      </c>
      <c r="F6" s="300">
        <v>43922</v>
      </c>
      <c r="G6" s="300">
        <v>43952</v>
      </c>
      <c r="H6" s="300">
        <v>43983</v>
      </c>
      <c r="I6" s="300">
        <v>44013</v>
      </c>
      <c r="J6" s="300">
        <v>44044</v>
      </c>
      <c r="K6" s="300">
        <v>44075</v>
      </c>
      <c r="L6" s="300">
        <v>44105</v>
      </c>
      <c r="M6" s="300">
        <v>44136</v>
      </c>
      <c r="N6" s="300">
        <v>44166</v>
      </c>
      <c r="O6" s="244" t="s">
        <v>279</v>
      </c>
      <c r="P6" s="245" t="s">
        <v>280</v>
      </c>
      <c r="Q6" s="245"/>
    </row>
    <row r="7" spans="1:17" ht="23.25" x14ac:dyDescent="0.35">
      <c r="A7" s="273" t="s">
        <v>271</v>
      </c>
      <c r="C7" s="220">
        <v>494661.47</v>
      </c>
      <c r="D7" s="220">
        <v>494661.47</v>
      </c>
      <c r="E7" s="220">
        <v>494661.47</v>
      </c>
      <c r="F7" s="220">
        <v>1064136.3999999999</v>
      </c>
      <c r="G7" s="220">
        <v>651001.54</v>
      </c>
      <c r="H7" s="220">
        <v>2431197.06</v>
      </c>
      <c r="I7" s="220">
        <v>1060526.05</v>
      </c>
      <c r="J7" s="220">
        <v>948661.47</v>
      </c>
      <c r="K7" s="220">
        <v>964125.27</v>
      </c>
      <c r="L7" s="220">
        <v>1084195.8700000001</v>
      </c>
      <c r="M7" s="220">
        <v>1444199.67</v>
      </c>
      <c r="N7" s="220">
        <v>2365152.67</v>
      </c>
      <c r="O7" s="246">
        <f>SUM(P7/12)</f>
        <v>1124765.0341666667</v>
      </c>
      <c r="P7" s="248">
        <f>SUM(C7:N7)</f>
        <v>13497180.41</v>
      </c>
      <c r="Q7" s="301"/>
    </row>
    <row r="8" spans="1:17" ht="23.25" x14ac:dyDescent="0.35">
      <c r="A8" s="273" t="s">
        <v>270</v>
      </c>
      <c r="C8" s="220">
        <v>448525</v>
      </c>
      <c r="D8" s="220">
        <v>86685</v>
      </c>
      <c r="E8" s="220">
        <v>810365</v>
      </c>
      <c r="F8" s="220">
        <v>448525</v>
      </c>
      <c r="G8" s="220">
        <v>448525</v>
      </c>
      <c r="H8" s="220">
        <v>448525</v>
      </c>
      <c r="I8" s="220">
        <v>548525</v>
      </c>
      <c r="J8" s="220">
        <v>448525</v>
      </c>
      <c r="K8" s="220">
        <v>548525</v>
      </c>
      <c r="L8" s="220">
        <v>548525</v>
      </c>
      <c r="M8" s="220">
        <v>548525</v>
      </c>
      <c r="N8" s="220">
        <v>1168525</v>
      </c>
      <c r="O8" s="246">
        <f>SUM(P8/12)</f>
        <v>541858.33333333337</v>
      </c>
      <c r="P8" s="248">
        <f>SUM(C8:N8)</f>
        <v>6502300</v>
      </c>
      <c r="Q8" s="301"/>
    </row>
    <row r="9" spans="1:17" ht="23.25" x14ac:dyDescent="0.35">
      <c r="A9" s="273" t="s">
        <v>272</v>
      </c>
      <c r="C9" s="220">
        <v>275000</v>
      </c>
      <c r="D9" s="220">
        <v>275000</v>
      </c>
      <c r="E9" s="220">
        <v>550000</v>
      </c>
      <c r="F9" s="220">
        <v>335000</v>
      </c>
      <c r="G9" s="220">
        <v>335000</v>
      </c>
      <c r="H9" s="220">
        <v>275000</v>
      </c>
      <c r="I9" s="220">
        <v>340000</v>
      </c>
      <c r="J9" s="220">
        <v>340000</v>
      </c>
      <c r="K9" s="220">
        <v>560000</v>
      </c>
      <c r="L9" s="220">
        <v>340000</v>
      </c>
      <c r="M9" s="220">
        <v>340000</v>
      </c>
      <c r="N9" s="220">
        <v>400000</v>
      </c>
      <c r="O9" s="246">
        <f>SUM(P9/12)</f>
        <v>363750</v>
      </c>
      <c r="P9" s="248">
        <f>SUM(C9:N9)</f>
        <v>4365000</v>
      </c>
      <c r="Q9" s="301"/>
    </row>
    <row r="10" spans="1:17" s="216" customFormat="1" ht="22.5" x14ac:dyDescent="0.45">
      <c r="A10" s="260" t="s">
        <v>32</v>
      </c>
      <c r="B10" s="224"/>
      <c r="C10" s="242">
        <f t="shared" ref="C10:O10" si="0">SUM(C7:C9)</f>
        <v>1218186.47</v>
      </c>
      <c r="D10" s="242">
        <f t="shared" si="0"/>
        <v>856346.47</v>
      </c>
      <c r="E10" s="242">
        <f t="shared" si="0"/>
        <v>1855026.47</v>
      </c>
      <c r="F10" s="242">
        <f t="shared" si="0"/>
        <v>1847661.4</v>
      </c>
      <c r="G10" s="242">
        <f t="shared" si="0"/>
        <v>1434526.54</v>
      </c>
      <c r="H10" s="242">
        <f t="shared" si="0"/>
        <v>3154722.06</v>
      </c>
      <c r="I10" s="242">
        <f t="shared" si="0"/>
        <v>1949051.05</v>
      </c>
      <c r="J10" s="242">
        <f t="shared" si="0"/>
        <v>1737186.47</v>
      </c>
      <c r="K10" s="242">
        <f t="shared" si="0"/>
        <v>2072650.27</v>
      </c>
      <c r="L10" s="242">
        <f t="shared" si="0"/>
        <v>1972720.87</v>
      </c>
      <c r="M10" s="242">
        <f t="shared" si="0"/>
        <v>2332724.67</v>
      </c>
      <c r="N10" s="242">
        <f t="shared" si="0"/>
        <v>3933677.67</v>
      </c>
      <c r="O10" s="242">
        <f t="shared" si="0"/>
        <v>2030373.3675000002</v>
      </c>
      <c r="P10" s="232">
        <f>P7+P8+P9</f>
        <v>24364480.41</v>
      </c>
      <c r="Q10" s="224"/>
    </row>
    <row r="11" spans="1:17" s="240" customFormat="1" ht="12.75" x14ac:dyDescent="0.2">
      <c r="A11" s="239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P11" s="241"/>
      <c r="Q11" s="241"/>
    </row>
    <row r="12" spans="1:17" s="240" customFormat="1" ht="12" customHeight="1" x14ac:dyDescent="0.2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P12" s="241"/>
      <c r="Q12" s="241"/>
    </row>
    <row r="13" spans="1:17" ht="31.5" customHeight="1" x14ac:dyDescent="0.5">
      <c r="A13" s="212"/>
      <c r="B13" s="212"/>
      <c r="C13" s="320" t="s">
        <v>258</v>
      </c>
      <c r="D13" s="320"/>
      <c r="E13" s="320"/>
      <c r="F13" s="320"/>
      <c r="G13" s="320"/>
      <c r="H13" s="320"/>
      <c r="I13" s="320"/>
      <c r="J13" s="320"/>
      <c r="K13" s="320"/>
      <c r="L13" s="320"/>
      <c r="M13" s="320"/>
      <c r="N13" s="320"/>
    </row>
    <row r="14" spans="1:17" ht="6" customHeight="1" x14ac:dyDescent="0.45">
      <c r="A14" s="213"/>
      <c r="B14" s="213"/>
      <c r="C14" s="213"/>
      <c r="D14" s="213"/>
      <c r="E14" s="318"/>
      <c r="F14" s="318"/>
      <c r="G14" s="318"/>
      <c r="H14" s="318"/>
      <c r="I14" s="318"/>
      <c r="J14" s="318"/>
    </row>
    <row r="15" spans="1:17" s="216" customFormat="1" ht="15.75" x14ac:dyDescent="0.3">
      <c r="A15" s="215"/>
      <c r="C15" s="217">
        <v>43831</v>
      </c>
      <c r="D15" s="217">
        <v>43862</v>
      </c>
      <c r="E15" s="217">
        <v>43891</v>
      </c>
      <c r="F15" s="217">
        <v>43922</v>
      </c>
      <c r="G15" s="217">
        <v>43952</v>
      </c>
      <c r="H15" s="217">
        <v>43983</v>
      </c>
      <c r="I15" s="217">
        <v>44013</v>
      </c>
      <c r="J15" s="217">
        <v>44044</v>
      </c>
      <c r="K15" s="217">
        <v>44075</v>
      </c>
      <c r="L15" s="217">
        <v>44105</v>
      </c>
      <c r="M15" s="217">
        <v>44136</v>
      </c>
      <c r="N15" s="217">
        <v>44166</v>
      </c>
      <c r="P15" s="224"/>
    </row>
    <row r="16" spans="1:17" s="216" customFormat="1" ht="15.75" x14ac:dyDescent="0.3">
      <c r="A16" s="230" t="s">
        <v>1</v>
      </c>
      <c r="B16" s="219"/>
      <c r="C16" s="237">
        <v>46261.14</v>
      </c>
      <c r="D16" s="220">
        <v>55279.33</v>
      </c>
      <c r="E16" s="220">
        <v>47263.08</v>
      </c>
      <c r="F16" s="237">
        <v>49557.65</v>
      </c>
      <c r="G16" s="220">
        <v>38004.26</v>
      </c>
      <c r="H16" s="237">
        <v>35499.379999999997</v>
      </c>
      <c r="I16" s="220">
        <v>38376.980000000003</v>
      </c>
      <c r="J16" s="220">
        <v>39956.019999999997</v>
      </c>
      <c r="K16" s="220">
        <v>44909.32</v>
      </c>
      <c r="L16" s="220">
        <v>61599.68</v>
      </c>
      <c r="M16" s="220">
        <v>63401.120000000003</v>
      </c>
      <c r="N16" s="220">
        <v>61574.080000000002</v>
      </c>
      <c r="O16" s="221"/>
      <c r="P16" s="228"/>
    </row>
    <row r="17" spans="1:16" s="216" customFormat="1" ht="15.75" x14ac:dyDescent="0.3">
      <c r="A17" s="218" t="s">
        <v>0</v>
      </c>
      <c r="B17" s="219"/>
      <c r="C17" s="237">
        <v>2093.0100000000002</v>
      </c>
      <c r="D17" s="220">
        <v>1993</v>
      </c>
      <c r="E17" s="220">
        <v>2334.77</v>
      </c>
      <c r="F17" s="237">
        <v>1710.31</v>
      </c>
      <c r="G17" s="220">
        <v>1896.27</v>
      </c>
      <c r="H17" s="237"/>
      <c r="I17" s="220">
        <v>3997.77</v>
      </c>
      <c r="J17" s="220">
        <v>1998.68</v>
      </c>
      <c r="K17" s="220">
        <v>1931.31</v>
      </c>
      <c r="L17" s="220">
        <v>93.92</v>
      </c>
      <c r="M17" s="220">
        <v>150.82</v>
      </c>
      <c r="N17" s="220">
        <v>1257.5899999999999</v>
      </c>
      <c r="O17" s="221"/>
      <c r="P17" s="228"/>
    </row>
    <row r="18" spans="1:16" s="216" customFormat="1" ht="16.5" customHeight="1" x14ac:dyDescent="0.3">
      <c r="A18" s="218" t="s">
        <v>89</v>
      </c>
      <c r="B18" s="219"/>
      <c r="C18" s="237">
        <v>2768.22</v>
      </c>
      <c r="D18" s="220">
        <v>1882.25</v>
      </c>
      <c r="E18" s="220">
        <v>2251.19</v>
      </c>
      <c r="F18" s="237">
        <v>2195.5300000000002</v>
      </c>
      <c r="G18" s="220">
        <v>2109.3000000000002</v>
      </c>
      <c r="H18" s="237">
        <v>2035.2</v>
      </c>
      <c r="I18" s="220">
        <v>719.59</v>
      </c>
      <c r="J18" s="220">
        <v>2493.42</v>
      </c>
      <c r="K18" s="220">
        <v>3747.18</v>
      </c>
      <c r="L18" s="220">
        <v>2769.09</v>
      </c>
      <c r="M18" s="220">
        <v>2419.23</v>
      </c>
      <c r="N18" s="220">
        <v>2753.11</v>
      </c>
      <c r="O18" s="221"/>
      <c r="P18" s="228"/>
    </row>
    <row r="19" spans="1:16" s="216" customFormat="1" ht="15.75" x14ac:dyDescent="0.3">
      <c r="A19" s="218" t="s">
        <v>273</v>
      </c>
      <c r="B19" s="219"/>
      <c r="C19" s="237">
        <v>2373.65</v>
      </c>
      <c r="D19" s="220">
        <v>2487.2800000000002</v>
      </c>
      <c r="E19" s="220">
        <v>630.74</v>
      </c>
      <c r="F19" s="237"/>
      <c r="G19" s="220">
        <v>1262.6600000000001</v>
      </c>
      <c r="H19" s="237">
        <v>822.36</v>
      </c>
      <c r="I19" s="220">
        <v>409.32</v>
      </c>
      <c r="J19" s="220">
        <v>541.59</v>
      </c>
      <c r="K19" s="220">
        <v>130.38</v>
      </c>
      <c r="L19" s="220">
        <v>219.87</v>
      </c>
      <c r="M19" s="220">
        <v>1030.02</v>
      </c>
      <c r="N19" s="220">
        <v>1594.63</v>
      </c>
      <c r="O19" s="221"/>
      <c r="P19" s="228"/>
    </row>
    <row r="20" spans="1:16" s="216" customFormat="1" ht="15.75" x14ac:dyDescent="0.3">
      <c r="A20" s="218" t="s">
        <v>261</v>
      </c>
      <c r="B20" s="219"/>
      <c r="C20" s="237">
        <v>122144.45</v>
      </c>
      <c r="D20" s="220">
        <v>160737.69</v>
      </c>
      <c r="E20" s="220">
        <v>211013.22</v>
      </c>
      <c r="F20" s="237">
        <v>183807.09</v>
      </c>
      <c r="G20" s="220">
        <v>137464.15</v>
      </c>
      <c r="H20" s="237">
        <v>346813.26</v>
      </c>
      <c r="I20" s="220">
        <v>159560.12</v>
      </c>
      <c r="J20" s="220">
        <v>157692.76999999999</v>
      </c>
      <c r="K20" s="220">
        <v>152546.15</v>
      </c>
      <c r="L20" s="220">
        <v>108797.39</v>
      </c>
      <c r="M20" s="220">
        <v>106714.59</v>
      </c>
      <c r="N20" s="220">
        <v>273158.05</v>
      </c>
      <c r="O20" s="221"/>
      <c r="P20" s="228"/>
    </row>
    <row r="21" spans="1:16" s="216" customFormat="1" ht="15.75" x14ac:dyDescent="0.3">
      <c r="A21" s="218" t="s">
        <v>287</v>
      </c>
      <c r="B21" s="219"/>
      <c r="C21" s="237">
        <v>4818.26</v>
      </c>
      <c r="D21" s="220">
        <v>4445</v>
      </c>
      <c r="E21" s="220">
        <v>1978.61</v>
      </c>
      <c r="F21" s="237">
        <v>11965.9</v>
      </c>
      <c r="G21" s="220">
        <v>3740.36</v>
      </c>
      <c r="H21" s="237">
        <v>6086.05</v>
      </c>
      <c r="I21" s="220">
        <v>1327.99</v>
      </c>
      <c r="J21" s="220">
        <v>1104.8800000000001</v>
      </c>
      <c r="K21" s="220">
        <v>28469.4</v>
      </c>
      <c r="L21" s="220">
        <v>11770.99</v>
      </c>
      <c r="M21" s="220">
        <v>25282.35</v>
      </c>
      <c r="N21" s="220">
        <v>7038.97</v>
      </c>
      <c r="O21" s="221"/>
      <c r="P21" s="228"/>
    </row>
    <row r="22" spans="1:16" s="216" customFormat="1" ht="15.75" x14ac:dyDescent="0.3">
      <c r="A22" s="218" t="s">
        <v>285</v>
      </c>
      <c r="B22" s="219"/>
      <c r="C22" s="237">
        <v>24547.01</v>
      </c>
      <c r="D22" s="220">
        <v>24344.67</v>
      </c>
      <c r="E22" s="220">
        <v>33942.120000000003</v>
      </c>
      <c r="F22" s="237">
        <v>18909.68</v>
      </c>
      <c r="G22" s="220">
        <v>20212.47</v>
      </c>
      <c r="H22" s="237">
        <v>23228.68</v>
      </c>
      <c r="I22" s="220">
        <v>33606.050000000003</v>
      </c>
      <c r="J22" s="220">
        <v>32648.58</v>
      </c>
      <c r="K22" s="220">
        <v>28704.51</v>
      </c>
      <c r="L22" s="220">
        <v>52805.45</v>
      </c>
      <c r="M22" s="220">
        <v>39053.800000000003</v>
      </c>
      <c r="N22" s="220">
        <v>48351.91</v>
      </c>
      <c r="O22" s="221"/>
      <c r="P22" s="228"/>
    </row>
    <row r="23" spans="1:16" s="216" customFormat="1" ht="15.75" x14ac:dyDescent="0.3">
      <c r="A23" s="218" t="s">
        <v>265</v>
      </c>
      <c r="B23" s="219"/>
      <c r="C23" s="237">
        <v>31340.41</v>
      </c>
      <c r="D23" s="220">
        <v>32327.8</v>
      </c>
      <c r="E23" s="220">
        <v>30862.75</v>
      </c>
      <c r="F23" s="237">
        <v>29820.81</v>
      </c>
      <c r="G23" s="220">
        <v>32158.44</v>
      </c>
      <c r="H23" s="237">
        <v>37237.040000000001</v>
      </c>
      <c r="I23" s="220">
        <v>43685.56</v>
      </c>
      <c r="J23" s="220">
        <v>36023.15</v>
      </c>
      <c r="K23" s="220">
        <v>46630.26</v>
      </c>
      <c r="L23" s="220">
        <v>38396.080000000002</v>
      </c>
      <c r="M23" s="220">
        <v>56125.63</v>
      </c>
      <c r="N23" s="220">
        <v>26701.91</v>
      </c>
      <c r="O23" s="221"/>
      <c r="P23" s="228"/>
    </row>
    <row r="24" spans="1:16" s="216" customFormat="1" ht="15.75" x14ac:dyDescent="0.3">
      <c r="A24" s="218" t="s">
        <v>14</v>
      </c>
      <c r="B24" s="219"/>
      <c r="C24" s="237">
        <v>652.20000000000005</v>
      </c>
      <c r="D24" s="220">
        <v>11389.13</v>
      </c>
      <c r="E24" s="220">
        <v>6909.64</v>
      </c>
      <c r="F24" s="237">
        <v>10754.64</v>
      </c>
      <c r="G24" s="220">
        <v>8735.7999999999993</v>
      </c>
      <c r="H24" s="237">
        <v>11065.94</v>
      </c>
      <c r="I24" s="220">
        <v>19860.18</v>
      </c>
      <c r="J24" s="220">
        <v>26384.97</v>
      </c>
      <c r="K24" s="220">
        <v>27149</v>
      </c>
      <c r="L24" s="220">
        <v>320</v>
      </c>
      <c r="M24" s="220">
        <v>2543.6</v>
      </c>
      <c r="N24" s="220">
        <v>2885</v>
      </c>
      <c r="O24" s="221"/>
      <c r="P24" s="228"/>
    </row>
    <row r="25" spans="1:16" s="216" customFormat="1" ht="15.75" x14ac:dyDescent="0.3">
      <c r="A25" s="218" t="s">
        <v>277</v>
      </c>
      <c r="B25" s="219"/>
      <c r="C25" s="237">
        <v>2426.59</v>
      </c>
      <c r="D25" s="220">
        <v>2739.33</v>
      </c>
      <c r="E25" s="220">
        <v>2526.83</v>
      </c>
      <c r="F25" s="237">
        <v>1106.4000000000001</v>
      </c>
      <c r="G25" s="220">
        <v>2123.4499999999998</v>
      </c>
      <c r="H25" s="237">
        <v>2256.91</v>
      </c>
      <c r="I25" s="220">
        <v>2266.1</v>
      </c>
      <c r="J25" s="220">
        <v>3291.65</v>
      </c>
      <c r="K25" s="220">
        <v>683.5</v>
      </c>
      <c r="L25" s="220">
        <v>4343.34</v>
      </c>
      <c r="M25" s="220">
        <v>244.17</v>
      </c>
      <c r="N25" s="220">
        <v>5095.28</v>
      </c>
      <c r="O25" s="221"/>
      <c r="P25" s="228"/>
    </row>
    <row r="26" spans="1:16" s="216" customFormat="1" ht="15.75" x14ac:dyDescent="0.3">
      <c r="A26" s="218" t="s">
        <v>259</v>
      </c>
      <c r="B26" s="219"/>
      <c r="C26" s="237"/>
      <c r="D26" s="220"/>
      <c r="E26" s="220"/>
      <c r="F26" s="237"/>
      <c r="G26" s="220"/>
      <c r="H26" s="237"/>
      <c r="I26" s="220"/>
      <c r="J26" s="220"/>
      <c r="K26" s="220"/>
      <c r="L26" s="220"/>
      <c r="M26" s="220"/>
      <c r="N26" s="220"/>
      <c r="O26" s="221"/>
      <c r="P26" s="228"/>
    </row>
    <row r="27" spans="1:16" s="216" customFormat="1" ht="15.75" x14ac:dyDescent="0.3">
      <c r="A27" s="230" t="s">
        <v>78</v>
      </c>
      <c r="B27" s="219"/>
      <c r="C27" s="237"/>
      <c r="D27" s="220"/>
      <c r="E27" s="220"/>
      <c r="F27" s="237"/>
      <c r="G27" s="220"/>
      <c r="H27" s="237"/>
      <c r="I27" s="220"/>
      <c r="J27" s="220"/>
      <c r="K27" s="220"/>
      <c r="L27" s="220"/>
      <c r="M27" s="220"/>
      <c r="N27" s="220"/>
      <c r="O27" s="221"/>
      <c r="P27" s="228"/>
    </row>
    <row r="28" spans="1:16" s="216" customFormat="1" ht="15.75" x14ac:dyDescent="0.3">
      <c r="A28" s="218" t="s">
        <v>288</v>
      </c>
      <c r="B28" s="219"/>
      <c r="C28" s="237">
        <v>38983.53</v>
      </c>
      <c r="D28" s="220">
        <v>13986.45</v>
      </c>
      <c r="E28" s="220">
        <v>39580.99</v>
      </c>
      <c r="F28" s="237">
        <v>6866.2</v>
      </c>
      <c r="G28" s="220">
        <v>22967.1</v>
      </c>
      <c r="H28" s="237">
        <v>41906.93</v>
      </c>
      <c r="I28" s="220">
        <v>33977.11</v>
      </c>
      <c r="J28" s="220">
        <v>36128.65</v>
      </c>
      <c r="K28" s="220">
        <v>17348.48</v>
      </c>
      <c r="L28" s="220">
        <v>6800.97</v>
      </c>
      <c r="M28" s="220">
        <v>73702.009999999995</v>
      </c>
      <c r="N28" s="220">
        <v>59293.88</v>
      </c>
      <c r="O28" s="221"/>
      <c r="P28" s="228"/>
    </row>
    <row r="29" spans="1:16" s="297" customFormat="1" ht="15.75" x14ac:dyDescent="0.3">
      <c r="A29" s="292" t="s">
        <v>266</v>
      </c>
      <c r="B29" s="293"/>
      <c r="C29" s="237">
        <v>485019.37</v>
      </c>
      <c r="D29" s="220">
        <v>506602.77</v>
      </c>
      <c r="E29" s="220">
        <v>496784.73</v>
      </c>
      <c r="F29" s="237">
        <v>524002.45</v>
      </c>
      <c r="G29" s="220">
        <v>537456.52</v>
      </c>
      <c r="H29" s="237">
        <v>528268.5</v>
      </c>
      <c r="I29" s="294">
        <v>540997.67000000004</v>
      </c>
      <c r="J29" s="294">
        <v>604620.56000000006</v>
      </c>
      <c r="K29" s="294">
        <v>574900.07999999996</v>
      </c>
      <c r="L29" s="294">
        <v>544877.46</v>
      </c>
      <c r="M29" s="294">
        <v>578139.05000000005</v>
      </c>
      <c r="N29" s="294">
        <v>506084.43</v>
      </c>
      <c r="O29" s="295"/>
      <c r="P29" s="296"/>
    </row>
    <row r="30" spans="1:16" s="216" customFormat="1" ht="15.75" x14ac:dyDescent="0.3">
      <c r="A30" s="230" t="s">
        <v>254</v>
      </c>
      <c r="B30" s="219"/>
      <c r="C30" s="237"/>
      <c r="D30" s="220"/>
      <c r="E30" s="220"/>
      <c r="F30" s="237"/>
      <c r="G30" s="220"/>
      <c r="H30" s="237"/>
      <c r="I30" s="220"/>
      <c r="J30" s="220"/>
      <c r="K30" s="220"/>
      <c r="L30" s="220"/>
      <c r="M30" s="220"/>
      <c r="N30" s="220"/>
      <c r="O30" s="221"/>
      <c r="P30" s="228"/>
    </row>
    <row r="31" spans="1:16" s="297" customFormat="1" ht="15.75" x14ac:dyDescent="0.3">
      <c r="A31" s="298" t="s">
        <v>72</v>
      </c>
      <c r="C31" s="237">
        <v>41061.11</v>
      </c>
      <c r="D31" s="237">
        <v>48192.86</v>
      </c>
      <c r="E31" s="237">
        <v>37730.660000000003</v>
      </c>
      <c r="F31" s="237">
        <v>50063.57</v>
      </c>
      <c r="G31" s="237">
        <v>51280.03</v>
      </c>
      <c r="H31" s="237">
        <v>40319.01</v>
      </c>
      <c r="I31" s="299">
        <v>51389.85</v>
      </c>
      <c r="J31" s="299">
        <v>39638.11</v>
      </c>
      <c r="K31" s="299">
        <v>45536.55</v>
      </c>
      <c r="L31" s="299">
        <v>45835.7</v>
      </c>
      <c r="M31" s="299">
        <v>49195.03</v>
      </c>
      <c r="N31" s="299">
        <v>41636.03</v>
      </c>
      <c r="O31" s="295"/>
      <c r="P31" s="296"/>
    </row>
    <row r="32" spans="1:16" s="216" customFormat="1" ht="15.75" x14ac:dyDescent="0.3">
      <c r="A32" s="218" t="s">
        <v>262</v>
      </c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21"/>
      <c r="P32" s="228"/>
    </row>
    <row r="33" spans="1:25" s="216" customFormat="1" ht="15.75" x14ac:dyDescent="0.3">
      <c r="A33" s="218" t="s">
        <v>263</v>
      </c>
      <c r="B33" s="219"/>
      <c r="C33" s="237">
        <v>9351</v>
      </c>
      <c r="D33" s="220">
        <v>9405</v>
      </c>
      <c r="E33" s="220">
        <v>9405</v>
      </c>
      <c r="F33" s="237">
        <v>9405</v>
      </c>
      <c r="G33" s="220">
        <v>9405</v>
      </c>
      <c r="H33" s="237">
        <v>9405</v>
      </c>
      <c r="I33" s="220">
        <v>9405</v>
      </c>
      <c r="J33" s="220">
        <v>9405</v>
      </c>
      <c r="K33" s="220">
        <v>9405</v>
      </c>
      <c r="L33" s="220">
        <v>9405</v>
      </c>
      <c r="M33" s="220">
        <v>9405</v>
      </c>
      <c r="N33" s="220">
        <v>9405</v>
      </c>
      <c r="O33" s="221"/>
      <c r="P33" s="228"/>
    </row>
    <row r="34" spans="1:25" s="216" customFormat="1" ht="15.75" x14ac:dyDescent="0.3">
      <c r="A34" s="218" t="s">
        <v>183</v>
      </c>
      <c r="B34" s="219"/>
      <c r="C34" s="237">
        <v>6657.85</v>
      </c>
      <c r="D34" s="220">
        <v>1250</v>
      </c>
      <c r="E34" s="220">
        <v>9000</v>
      </c>
      <c r="F34" s="237">
        <v>17157.849999999999</v>
      </c>
      <c r="G34" s="220">
        <v>19500</v>
      </c>
      <c r="H34" s="237">
        <v>24000</v>
      </c>
      <c r="I34" s="220">
        <v>19500</v>
      </c>
      <c r="J34" s="220">
        <v>15000</v>
      </c>
      <c r="K34" s="220">
        <v>24000</v>
      </c>
      <c r="L34" s="220">
        <v>19500</v>
      </c>
      <c r="M34" s="220">
        <v>24000</v>
      </c>
      <c r="N34" s="220">
        <v>19500</v>
      </c>
      <c r="O34" s="221"/>
      <c r="P34" s="228"/>
    </row>
    <row r="35" spans="1:25" s="216" customFormat="1" ht="15.75" x14ac:dyDescent="0.3">
      <c r="A35" s="218" t="s">
        <v>264</v>
      </c>
      <c r="B35" s="219"/>
      <c r="C35" s="237">
        <v>26846.38</v>
      </c>
      <c r="D35" s="220">
        <v>15608.91</v>
      </c>
      <c r="E35" s="220">
        <v>29168.46</v>
      </c>
      <c r="F35" s="237">
        <v>23017.78</v>
      </c>
      <c r="G35" s="220">
        <v>24600.73</v>
      </c>
      <c r="H35" s="237">
        <v>23354.9</v>
      </c>
      <c r="I35" s="220">
        <v>13403.21</v>
      </c>
      <c r="J35" s="220">
        <v>64868.800000000003</v>
      </c>
      <c r="K35" s="220">
        <v>40152.22</v>
      </c>
      <c r="L35" s="220">
        <v>56694.93</v>
      </c>
      <c r="M35" s="220">
        <v>53539.37</v>
      </c>
      <c r="N35" s="220">
        <v>60348.26</v>
      </c>
      <c r="O35" s="221"/>
      <c r="P35" s="228"/>
    </row>
    <row r="36" spans="1:25" s="216" customFormat="1" ht="15.75" x14ac:dyDescent="0.3">
      <c r="A36" s="218" t="s">
        <v>276</v>
      </c>
      <c r="B36" s="219"/>
      <c r="C36" s="237">
        <v>403556.5</v>
      </c>
      <c r="D36" s="220">
        <v>474469.11</v>
      </c>
      <c r="E36" s="220">
        <v>763648.41</v>
      </c>
      <c r="F36" s="237">
        <v>968430.34</v>
      </c>
      <c r="G36" s="220">
        <v>575003.06000000006</v>
      </c>
      <c r="H36" s="237">
        <v>961077.97</v>
      </c>
      <c r="I36" s="220">
        <v>965026.32</v>
      </c>
      <c r="J36" s="220">
        <v>946886.03</v>
      </c>
      <c r="K36" s="220">
        <v>971390.28</v>
      </c>
      <c r="L36" s="220">
        <v>709055.44</v>
      </c>
      <c r="M36" s="220">
        <v>1207852.6100000001</v>
      </c>
      <c r="N36" s="220">
        <v>955401.45</v>
      </c>
      <c r="O36" s="221"/>
      <c r="P36" s="228"/>
    </row>
    <row r="37" spans="1:25" s="216" customFormat="1" ht="15.75" x14ac:dyDescent="0.3">
      <c r="A37" s="230" t="s">
        <v>286</v>
      </c>
      <c r="B37" s="219"/>
      <c r="C37" s="237">
        <v>367484.18</v>
      </c>
      <c r="D37" s="220">
        <v>28358.91</v>
      </c>
      <c r="E37" s="220">
        <v>9657.6299999999992</v>
      </c>
      <c r="F37" s="237">
        <v>9054.93</v>
      </c>
      <c r="G37" s="220">
        <v>13281.76</v>
      </c>
      <c r="H37" s="237">
        <v>12823.91</v>
      </c>
      <c r="I37" s="220">
        <v>20341.7</v>
      </c>
      <c r="J37" s="220">
        <v>15103.42</v>
      </c>
      <c r="K37" s="220">
        <v>21825.02</v>
      </c>
      <c r="L37" s="220">
        <v>16654.64</v>
      </c>
      <c r="M37" s="220">
        <v>8557.3700000000008</v>
      </c>
      <c r="N37" s="220">
        <v>14095</v>
      </c>
      <c r="O37" s="221"/>
      <c r="P37" s="228"/>
    </row>
    <row r="38" spans="1:25" s="216" customFormat="1" ht="15.75" x14ac:dyDescent="0.3">
      <c r="A38" s="218" t="s">
        <v>275</v>
      </c>
      <c r="B38" s="219"/>
      <c r="C38" s="237">
        <v>2067.5</v>
      </c>
      <c r="D38" s="220">
        <v>1012.4</v>
      </c>
      <c r="E38" s="220">
        <v>1309.0999999999999</v>
      </c>
      <c r="F38" s="237">
        <v>1161.3</v>
      </c>
      <c r="G38" s="220">
        <v>1013.5</v>
      </c>
      <c r="H38" s="237">
        <v>1304.7</v>
      </c>
      <c r="I38" s="220">
        <v>1159.5999999999999</v>
      </c>
      <c r="J38" s="220">
        <v>1160.2</v>
      </c>
      <c r="K38" s="220">
        <v>1162</v>
      </c>
      <c r="L38" s="220">
        <v>1004.7</v>
      </c>
      <c r="M38" s="220">
        <v>1304.7</v>
      </c>
      <c r="N38" s="220">
        <v>1156.9000000000001</v>
      </c>
      <c r="O38" s="221"/>
      <c r="P38" s="228"/>
    </row>
    <row r="39" spans="1:25" s="216" customFormat="1" ht="15.75" x14ac:dyDescent="0.3">
      <c r="A39" s="218" t="s">
        <v>274</v>
      </c>
      <c r="B39" s="219"/>
      <c r="C39" s="237">
        <v>57126.85</v>
      </c>
      <c r="D39" s="220">
        <v>53021.08</v>
      </c>
      <c r="E39" s="220">
        <v>61125.11</v>
      </c>
      <c r="F39" s="237">
        <v>57850.58</v>
      </c>
      <c r="G39" s="220">
        <v>78183.710000000006</v>
      </c>
      <c r="H39" s="237">
        <v>67397.52</v>
      </c>
      <c r="I39" s="220">
        <v>73758.53</v>
      </c>
      <c r="J39" s="220">
        <v>171088.64000000001</v>
      </c>
      <c r="K39" s="220">
        <v>230665.59</v>
      </c>
      <c r="L39" s="220">
        <v>112483.92</v>
      </c>
      <c r="M39" s="220">
        <v>276323.65999999997</v>
      </c>
      <c r="N39" s="220">
        <v>497518.14</v>
      </c>
      <c r="O39" s="221"/>
      <c r="P39" s="228"/>
    </row>
    <row r="40" spans="1:25" s="216" customFormat="1" ht="15.75" x14ac:dyDescent="0.3">
      <c r="A40" s="218" t="s">
        <v>278</v>
      </c>
      <c r="B40" s="219"/>
      <c r="C40" s="237">
        <v>2100</v>
      </c>
      <c r="D40" s="220">
        <v>2100</v>
      </c>
      <c r="E40" s="220">
        <v>2100</v>
      </c>
      <c r="F40" s="237">
        <v>2100</v>
      </c>
      <c r="G40" s="220">
        <v>2100</v>
      </c>
      <c r="H40" s="237">
        <v>2100</v>
      </c>
      <c r="I40" s="220">
        <v>2100</v>
      </c>
      <c r="J40" s="220">
        <v>2100</v>
      </c>
      <c r="K40" s="220">
        <v>2100</v>
      </c>
      <c r="L40" s="220">
        <v>2100</v>
      </c>
      <c r="M40" s="220">
        <v>2100</v>
      </c>
      <c r="N40" s="220">
        <v>2100</v>
      </c>
      <c r="O40" s="221"/>
      <c r="P40" s="228"/>
    </row>
    <row r="41" spans="1:25" s="216" customFormat="1" ht="15.75" x14ac:dyDescent="0.3">
      <c r="A41" s="218"/>
      <c r="B41" s="219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1"/>
      <c r="P41" s="228"/>
    </row>
    <row r="42" spans="1:25" s="216" customFormat="1" ht="15.75" x14ac:dyDescent="0.3">
      <c r="A42" s="223" t="s">
        <v>32</v>
      </c>
      <c r="B42" s="224"/>
      <c r="C42" s="225">
        <f t="shared" ref="C42:N42" si="1">SUM(C16:C40)</f>
        <v>1679679.2100000002</v>
      </c>
      <c r="D42" s="225">
        <f t="shared" si="1"/>
        <v>1451632.97</v>
      </c>
      <c r="E42" s="225">
        <f t="shared" si="1"/>
        <v>1799223.04</v>
      </c>
      <c r="F42" s="225">
        <f t="shared" si="1"/>
        <v>1978938.01</v>
      </c>
      <c r="G42" s="225">
        <f t="shared" si="1"/>
        <v>1582498.57</v>
      </c>
      <c r="H42" s="225">
        <f t="shared" si="1"/>
        <v>2177003.2600000002</v>
      </c>
      <c r="I42" s="225">
        <f t="shared" si="1"/>
        <v>2034868.65</v>
      </c>
      <c r="J42" s="225">
        <f t="shared" si="1"/>
        <v>2208135.12</v>
      </c>
      <c r="K42" s="225">
        <f t="shared" si="1"/>
        <v>2273386.23</v>
      </c>
      <c r="L42" s="225">
        <f t="shared" si="1"/>
        <v>1805528.5699999998</v>
      </c>
      <c r="M42" s="225">
        <f t="shared" si="1"/>
        <v>2581084.1300000008</v>
      </c>
      <c r="N42" s="225">
        <f t="shared" si="1"/>
        <v>2596949.62</v>
      </c>
      <c r="O42" s="221"/>
      <c r="P42" s="228"/>
    </row>
    <row r="43" spans="1:25" x14ac:dyDescent="0.25">
      <c r="P43" s="301"/>
      <c r="Q43" s="301"/>
    </row>
    <row r="44" spans="1:25" ht="10.5" customHeight="1" x14ac:dyDescent="0.35">
      <c r="A44" s="238"/>
      <c r="P44" s="301"/>
      <c r="Q44" s="301"/>
    </row>
    <row r="45" spans="1:25" ht="21" x14ac:dyDescent="0.35">
      <c r="A45" s="287" t="s">
        <v>206</v>
      </c>
      <c r="B45" s="226"/>
      <c r="C45" s="275">
        <f t="shared" ref="C45:N45" si="2">SUM(C10)</f>
        <v>1218186.47</v>
      </c>
      <c r="D45" s="275">
        <f t="shared" si="2"/>
        <v>856346.47</v>
      </c>
      <c r="E45" s="275">
        <f t="shared" si="2"/>
        <v>1855026.47</v>
      </c>
      <c r="F45" s="275">
        <f t="shared" si="2"/>
        <v>1847661.4</v>
      </c>
      <c r="G45" s="275">
        <f t="shared" si="2"/>
        <v>1434526.54</v>
      </c>
      <c r="H45" s="275">
        <f t="shared" si="2"/>
        <v>3154722.06</v>
      </c>
      <c r="I45" s="275">
        <f t="shared" si="2"/>
        <v>1949051.05</v>
      </c>
      <c r="J45" s="275">
        <f t="shared" si="2"/>
        <v>1737186.47</v>
      </c>
      <c r="K45" s="275">
        <f t="shared" si="2"/>
        <v>2072650.27</v>
      </c>
      <c r="L45" s="275">
        <f t="shared" si="2"/>
        <v>1972720.87</v>
      </c>
      <c r="M45" s="275">
        <f t="shared" si="2"/>
        <v>2332724.67</v>
      </c>
      <c r="N45" s="275">
        <f t="shared" si="2"/>
        <v>3933677.67</v>
      </c>
      <c r="O45" s="275"/>
      <c r="P45" s="231"/>
      <c r="Q45" s="275"/>
      <c r="R45" s="231"/>
      <c r="S45" s="275"/>
      <c r="T45" s="231"/>
      <c r="U45" s="275"/>
      <c r="V45" s="231"/>
      <c r="W45" s="275"/>
      <c r="X45" s="231"/>
      <c r="Y45" s="275"/>
    </row>
    <row r="46" spans="1:25" s="226" customFormat="1" ht="21" x14ac:dyDescent="0.35">
      <c r="A46" s="288" t="s">
        <v>231</v>
      </c>
      <c r="B46" s="247"/>
      <c r="C46" s="281">
        <f t="shared" ref="C46:N46" si="3">SUM(C42)</f>
        <v>1679679.2100000002</v>
      </c>
      <c r="D46" s="281">
        <f t="shared" si="3"/>
        <v>1451632.97</v>
      </c>
      <c r="E46" s="281">
        <f t="shared" si="3"/>
        <v>1799223.04</v>
      </c>
      <c r="F46" s="281">
        <f t="shared" si="3"/>
        <v>1978938.01</v>
      </c>
      <c r="G46" s="281">
        <f t="shared" si="3"/>
        <v>1582498.57</v>
      </c>
      <c r="H46" s="281">
        <f t="shared" si="3"/>
        <v>2177003.2600000002</v>
      </c>
      <c r="I46" s="281">
        <f t="shared" si="3"/>
        <v>2034868.65</v>
      </c>
      <c r="J46" s="281">
        <f t="shared" si="3"/>
        <v>2208135.12</v>
      </c>
      <c r="K46" s="281">
        <f t="shared" si="3"/>
        <v>2273386.23</v>
      </c>
      <c r="L46" s="281">
        <f t="shared" si="3"/>
        <v>1805528.5699999998</v>
      </c>
      <c r="M46" s="281">
        <f t="shared" si="3"/>
        <v>2581084.1300000008</v>
      </c>
      <c r="N46" s="281">
        <f t="shared" si="3"/>
        <v>2596949.62</v>
      </c>
      <c r="O46" s="281"/>
      <c r="P46" s="231"/>
      <c r="Q46" s="281"/>
      <c r="R46" s="231"/>
      <c r="S46" s="281"/>
      <c r="T46" s="231"/>
      <c r="U46" s="281"/>
      <c r="V46" s="231"/>
      <c r="W46" s="281"/>
      <c r="X46" s="231"/>
      <c r="Y46" s="281"/>
    </row>
    <row r="47" spans="1:25" s="216" customFormat="1" ht="15.75" x14ac:dyDescent="0.3">
      <c r="A47" s="250" t="s">
        <v>32</v>
      </c>
      <c r="B47" s="224"/>
      <c r="C47" s="249">
        <f t="shared" ref="C47:N47" si="4">SUM(C45-C46)</f>
        <v>-461492.74000000022</v>
      </c>
      <c r="D47" s="249">
        <f t="shared" si="4"/>
        <v>-595286.5</v>
      </c>
      <c r="E47" s="249">
        <f t="shared" si="4"/>
        <v>55803.429999999935</v>
      </c>
      <c r="F47" s="249">
        <f t="shared" si="4"/>
        <v>-131276.6100000001</v>
      </c>
      <c r="G47" s="249">
        <f t="shared" si="4"/>
        <v>-147972.03000000003</v>
      </c>
      <c r="H47" s="249">
        <f t="shared" si="4"/>
        <v>977718.79999999981</v>
      </c>
      <c r="I47" s="249">
        <f t="shared" si="4"/>
        <v>-85817.59999999986</v>
      </c>
      <c r="J47" s="249">
        <f t="shared" si="4"/>
        <v>-470948.65000000014</v>
      </c>
      <c r="K47" s="249">
        <f t="shared" si="4"/>
        <v>-200735.95999999996</v>
      </c>
      <c r="L47" s="249">
        <f t="shared" si="4"/>
        <v>167192.30000000028</v>
      </c>
      <c r="M47" s="249">
        <f t="shared" si="4"/>
        <v>-248359.46000000089</v>
      </c>
      <c r="N47" s="249">
        <f t="shared" si="4"/>
        <v>1336728.0499999998</v>
      </c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</row>
    <row r="48" spans="1:25" x14ac:dyDescent="0.25">
      <c r="O48" s="229"/>
      <c r="P48" s="229"/>
      <c r="Q48" s="229"/>
    </row>
    <row r="49" spans="1:16" x14ac:dyDescent="0.25">
      <c r="O49" s="229"/>
      <c r="P49" s="229"/>
    </row>
    <row r="55" spans="1:16" s="227" customFormat="1" x14ac:dyDescent="0.25">
      <c r="A55" s="311"/>
      <c r="B55" s="311"/>
      <c r="C55" s="311"/>
      <c r="D55" s="311"/>
      <c r="E55" s="311"/>
      <c r="F55" s="311"/>
      <c r="G55" s="311"/>
      <c r="H55" s="311"/>
      <c r="I55" s="311"/>
      <c r="J55" s="311"/>
      <c r="K55" s="311"/>
      <c r="L55" s="311"/>
      <c r="M55" s="311"/>
      <c r="N55" s="311"/>
      <c r="O55" s="311"/>
      <c r="P55" s="210"/>
    </row>
    <row r="56" spans="1:16" s="227" customFormat="1" x14ac:dyDescent="0.25">
      <c r="A56" s="311"/>
      <c r="B56" s="311"/>
      <c r="C56" s="311"/>
      <c r="D56" s="311"/>
      <c r="E56" s="311"/>
      <c r="F56" s="311"/>
      <c r="G56" s="311"/>
      <c r="H56" s="311"/>
      <c r="I56" s="311"/>
      <c r="J56" s="311"/>
      <c r="K56" s="311"/>
      <c r="L56" s="311"/>
      <c r="M56" s="311"/>
      <c r="N56" s="311"/>
      <c r="O56" s="311"/>
      <c r="P56" s="210"/>
    </row>
    <row r="57" spans="1:16" s="227" customFormat="1" x14ac:dyDescent="0.25">
      <c r="A57" s="311"/>
      <c r="B57" s="311"/>
      <c r="C57" s="311"/>
      <c r="D57" s="311"/>
      <c r="E57" s="311"/>
      <c r="F57" s="311"/>
      <c r="G57" s="311"/>
      <c r="H57" s="311"/>
      <c r="I57" s="311"/>
      <c r="J57" s="311"/>
      <c r="K57" s="311"/>
      <c r="L57" s="311"/>
      <c r="M57" s="311"/>
      <c r="N57" s="311"/>
      <c r="O57" s="311"/>
      <c r="P57" s="210"/>
    </row>
  </sheetData>
  <mergeCells count="10">
    <mergeCell ref="E14:J14"/>
    <mergeCell ref="A55:O55"/>
    <mergeCell ref="A56:O56"/>
    <mergeCell ref="A57:O57"/>
    <mergeCell ref="A1:O1"/>
    <mergeCell ref="A2:O2"/>
    <mergeCell ref="A3:O3"/>
    <mergeCell ref="A4:O4"/>
    <mergeCell ref="C5:N5"/>
    <mergeCell ref="C13:N13"/>
  </mergeCells>
  <conditionalFormatting sqref="A42">
    <cfRule type="dataBar" priority="79">
      <dataBar>
        <cfvo type="min"/>
        <cfvo type="max"/>
        <color theme="0"/>
      </dataBar>
    </cfRule>
    <cfRule type="dataBar" priority="80">
      <dataBar>
        <cfvo type="min"/>
        <cfvo type="max"/>
        <color theme="0"/>
      </dataBar>
    </cfRule>
  </conditionalFormatting>
  <conditionalFormatting sqref="A42">
    <cfRule type="dataBar" priority="76">
      <dataBar>
        <cfvo type="min"/>
        <cfvo type="max"/>
        <color rgb="FFFF555A"/>
      </dataBar>
    </cfRule>
    <cfRule type="iconSet" priority="77">
      <iconSet iconSet="4TrafficLights">
        <cfvo type="percent" val="0"/>
        <cfvo type="percent" val="25"/>
        <cfvo type="percent" val="50"/>
        <cfvo type="percent" val="75"/>
      </iconSet>
    </cfRule>
    <cfRule type="dataBar" priority="78">
      <dataBar>
        <cfvo type="min"/>
        <cfvo type="max"/>
        <color rgb="FF638EC6"/>
      </dataBar>
    </cfRule>
  </conditionalFormatting>
  <conditionalFormatting sqref="A10">
    <cfRule type="dataBar" priority="74">
      <dataBar>
        <cfvo type="min"/>
        <cfvo type="max"/>
        <color theme="0"/>
      </dataBar>
    </cfRule>
    <cfRule type="dataBar" priority="75">
      <dataBar>
        <cfvo type="min"/>
        <cfvo type="max"/>
        <color theme="0"/>
      </dataBar>
    </cfRule>
  </conditionalFormatting>
  <conditionalFormatting sqref="A10">
    <cfRule type="dataBar" priority="71">
      <dataBar>
        <cfvo type="min"/>
        <cfvo type="max"/>
        <color rgb="FFFF555A"/>
      </dataBar>
    </cfRule>
    <cfRule type="iconSet" priority="72">
      <iconSet iconSet="4TrafficLights">
        <cfvo type="percent" val="0"/>
        <cfvo type="percent" val="25"/>
        <cfvo type="percent" val="50"/>
        <cfvo type="percent" val="75"/>
      </iconSet>
    </cfRule>
    <cfRule type="dataBar" priority="73">
      <dataBar>
        <cfvo type="min"/>
        <cfvo type="max"/>
        <color rgb="FF638EC6"/>
      </dataBar>
    </cfRule>
  </conditionalFormatting>
  <conditionalFormatting sqref="A15">
    <cfRule type="dataBar" priority="81">
      <dataBar>
        <cfvo type="min"/>
        <cfvo type="max"/>
        <color theme="0"/>
      </dataBar>
    </cfRule>
    <cfRule type="dataBar" priority="82">
      <dataBar>
        <cfvo type="min"/>
        <cfvo type="max"/>
        <color theme="0"/>
      </dataBar>
    </cfRule>
  </conditionalFormatting>
  <conditionalFormatting sqref="A15">
    <cfRule type="dataBar" priority="83">
      <dataBar>
        <cfvo type="min"/>
        <cfvo type="max"/>
        <color rgb="FFFF555A"/>
      </dataBar>
    </cfRule>
    <cfRule type="iconSet" priority="84">
      <iconSet iconSet="4TrafficLights">
        <cfvo type="percent" val="0"/>
        <cfvo type="percent" val="25"/>
        <cfvo type="percent" val="50"/>
        <cfvo type="percent" val="75"/>
      </iconSet>
    </cfRule>
    <cfRule type="dataBar" priority="85">
      <dataBar>
        <cfvo type="min"/>
        <cfvo type="max"/>
        <color rgb="FF638EC6"/>
      </dataBar>
    </cfRule>
  </conditionalFormatting>
  <conditionalFormatting sqref="A41">
    <cfRule type="dataBar" priority="69">
      <dataBar>
        <cfvo type="min"/>
        <cfvo type="max"/>
        <color theme="0"/>
      </dataBar>
    </cfRule>
    <cfRule type="dataBar" priority="70">
      <dataBar>
        <cfvo type="min"/>
        <cfvo type="max"/>
        <color theme="0"/>
      </dataBar>
    </cfRule>
  </conditionalFormatting>
  <conditionalFormatting sqref="A41">
    <cfRule type="dataBar" priority="66">
      <dataBar>
        <cfvo type="min"/>
        <cfvo type="max"/>
        <color rgb="FFFF555A"/>
      </dataBar>
    </cfRule>
    <cfRule type="iconSet" priority="67">
      <iconSet iconSet="4TrafficLights">
        <cfvo type="percent" val="0"/>
        <cfvo type="percent" val="25"/>
        <cfvo type="percent" val="50"/>
        <cfvo type="percent" val="75"/>
      </iconSet>
    </cfRule>
    <cfRule type="dataBar" priority="68">
      <dataBar>
        <cfvo type="min"/>
        <cfvo type="max"/>
        <color rgb="FF638EC6"/>
      </dataBar>
    </cfRule>
  </conditionalFormatting>
  <conditionalFormatting sqref="A26:A27">
    <cfRule type="dataBar" priority="46">
      <dataBar>
        <cfvo type="min"/>
        <cfvo type="max"/>
        <color theme="0"/>
      </dataBar>
    </cfRule>
    <cfRule type="dataBar" priority="47">
      <dataBar>
        <cfvo type="min"/>
        <cfvo type="max"/>
        <color theme="0"/>
      </dataBar>
    </cfRule>
  </conditionalFormatting>
  <conditionalFormatting sqref="A26:A27">
    <cfRule type="dataBar" priority="48">
      <dataBar>
        <cfvo type="min"/>
        <cfvo type="max"/>
        <color rgb="FFFF555A"/>
      </dataBar>
    </cfRule>
    <cfRule type="iconSet" priority="49">
      <iconSet iconSet="4TrafficLights">
        <cfvo type="percent" val="0"/>
        <cfvo type="percent" val="25"/>
        <cfvo type="percent" val="50"/>
        <cfvo type="percent" val="75"/>
      </iconSet>
    </cfRule>
    <cfRule type="dataBar" priority="50">
      <dataBar>
        <cfvo type="min"/>
        <cfvo type="max"/>
        <color rgb="FF638EC6"/>
      </dataBar>
    </cfRule>
  </conditionalFormatting>
  <conditionalFormatting sqref="A28">
    <cfRule type="dataBar" priority="41">
      <dataBar>
        <cfvo type="min"/>
        <cfvo type="max"/>
        <color theme="0"/>
      </dataBar>
    </cfRule>
    <cfRule type="dataBar" priority="42">
      <dataBar>
        <cfvo type="min"/>
        <cfvo type="max"/>
        <color theme="0"/>
      </dataBar>
    </cfRule>
  </conditionalFormatting>
  <conditionalFormatting sqref="A28">
    <cfRule type="dataBar" priority="43">
      <dataBar>
        <cfvo type="min"/>
        <cfvo type="max"/>
        <color rgb="FFFF555A"/>
      </dataBar>
    </cfRule>
    <cfRule type="iconSet" priority="44">
      <iconSet iconSet="4TrafficLights">
        <cfvo type="percent" val="0"/>
        <cfvo type="percent" val="25"/>
        <cfvo type="percent" val="50"/>
        <cfvo type="percent" val="75"/>
      </iconSet>
    </cfRule>
    <cfRule type="dataBar" priority="45">
      <dataBar>
        <cfvo type="min"/>
        <cfvo type="max"/>
        <color rgb="FF638EC6"/>
      </dataBar>
    </cfRule>
  </conditionalFormatting>
  <conditionalFormatting sqref="A29">
    <cfRule type="dataBar" priority="39">
      <dataBar>
        <cfvo type="min"/>
        <cfvo type="max"/>
        <color theme="0"/>
      </dataBar>
    </cfRule>
    <cfRule type="dataBar" priority="40">
      <dataBar>
        <cfvo type="min"/>
        <cfvo type="max"/>
        <color theme="0"/>
      </dataBar>
    </cfRule>
  </conditionalFormatting>
  <conditionalFormatting sqref="A29">
    <cfRule type="dataBar" priority="36">
      <dataBar>
        <cfvo type="min"/>
        <cfvo type="max"/>
        <color rgb="FFFF555A"/>
      </dataBar>
    </cfRule>
    <cfRule type="iconSet" priority="37">
      <iconSet iconSet="4TrafficLights">
        <cfvo type="percent" val="0"/>
        <cfvo type="percent" val="25"/>
        <cfvo type="percent" val="50"/>
        <cfvo type="percent" val="75"/>
      </iconSet>
    </cfRule>
    <cfRule type="dataBar" priority="38">
      <dataBar>
        <cfvo type="min"/>
        <cfvo type="max"/>
        <color rgb="FF638EC6"/>
      </dataBar>
    </cfRule>
  </conditionalFormatting>
  <conditionalFormatting sqref="A36">
    <cfRule type="dataBar" priority="29">
      <dataBar>
        <cfvo type="min"/>
        <cfvo type="max"/>
        <color theme="0"/>
      </dataBar>
    </cfRule>
    <cfRule type="dataBar" priority="30">
      <dataBar>
        <cfvo type="min"/>
        <cfvo type="max"/>
        <color theme="0"/>
      </dataBar>
    </cfRule>
  </conditionalFormatting>
  <conditionalFormatting sqref="A36">
    <cfRule type="dataBar" priority="26">
      <dataBar>
        <cfvo type="min"/>
        <cfvo type="max"/>
        <color rgb="FFFF555A"/>
      </dataBar>
    </cfRule>
    <cfRule type="iconSet" priority="27">
      <iconSet iconSet="4TrafficLights">
        <cfvo type="percent" val="0"/>
        <cfvo type="percent" val="25"/>
        <cfvo type="percent" val="50"/>
        <cfvo type="percent" val="75"/>
      </iconSet>
    </cfRule>
    <cfRule type="dataBar" priority="28">
      <dataBar>
        <cfvo type="min"/>
        <cfvo type="max"/>
        <color rgb="FF638EC6"/>
      </dataBar>
    </cfRule>
  </conditionalFormatting>
  <conditionalFormatting sqref="A36">
    <cfRule type="dataBar" priority="34">
      <dataBar>
        <cfvo type="min"/>
        <cfvo type="max"/>
        <color theme="0"/>
      </dataBar>
    </cfRule>
    <cfRule type="dataBar" priority="35">
      <dataBar>
        <cfvo type="min"/>
        <cfvo type="max"/>
        <color theme="0"/>
      </dataBar>
    </cfRule>
  </conditionalFormatting>
  <conditionalFormatting sqref="A36">
    <cfRule type="dataBar" priority="31">
      <dataBar>
        <cfvo type="min"/>
        <cfvo type="max"/>
        <color rgb="FFFF555A"/>
      </dataBar>
    </cfRule>
    <cfRule type="iconSet" priority="32">
      <iconSet iconSet="4TrafficLights">
        <cfvo type="percent" val="0"/>
        <cfvo type="percent" val="25"/>
        <cfvo type="percent" val="50"/>
        <cfvo type="percent" val="75"/>
      </iconSet>
    </cfRule>
    <cfRule type="dataBar" priority="33">
      <dataBar>
        <cfvo type="min"/>
        <cfvo type="max"/>
        <color rgb="FF638EC6"/>
      </dataBar>
    </cfRule>
  </conditionalFormatting>
  <conditionalFormatting sqref="A16:A25">
    <cfRule type="dataBar" priority="51">
      <dataBar>
        <cfvo type="min"/>
        <cfvo type="max"/>
        <color theme="0"/>
      </dataBar>
    </cfRule>
    <cfRule type="dataBar" priority="52">
      <dataBar>
        <cfvo type="min"/>
        <cfvo type="max"/>
        <color theme="0"/>
      </dataBar>
    </cfRule>
  </conditionalFormatting>
  <conditionalFormatting sqref="A16:A25">
    <cfRule type="dataBar" priority="53">
      <dataBar>
        <cfvo type="min"/>
        <cfvo type="max"/>
        <color rgb="FFFF555A"/>
      </dataBar>
    </cfRule>
    <cfRule type="iconSet" priority="54">
      <iconSet iconSet="4TrafficLights">
        <cfvo type="percent" val="0"/>
        <cfvo type="percent" val="25"/>
        <cfvo type="percent" val="50"/>
        <cfvo type="percent" val="75"/>
      </iconSet>
    </cfRule>
    <cfRule type="dataBar" priority="55">
      <dataBar>
        <cfvo type="min"/>
        <cfvo type="max"/>
        <color rgb="FF638EC6"/>
      </dataBar>
    </cfRule>
  </conditionalFormatting>
  <conditionalFormatting sqref="A16:A25">
    <cfRule type="dataBar" priority="56">
      <dataBar>
        <cfvo type="min"/>
        <cfvo type="max"/>
        <color theme="0"/>
      </dataBar>
    </cfRule>
    <cfRule type="dataBar" priority="57">
      <dataBar>
        <cfvo type="min"/>
        <cfvo type="max"/>
        <color theme="0"/>
      </dataBar>
    </cfRule>
  </conditionalFormatting>
  <conditionalFormatting sqref="A16:A25">
    <cfRule type="dataBar" priority="58">
      <dataBar>
        <cfvo type="min"/>
        <cfvo type="max"/>
        <color rgb="FFFF555A"/>
      </dataBar>
    </cfRule>
    <cfRule type="iconSet" priority="59">
      <iconSet iconSet="4TrafficLights">
        <cfvo type="percent" val="0"/>
        <cfvo type="percent" val="25"/>
        <cfvo type="percent" val="50"/>
        <cfvo type="percent" val="75"/>
      </iconSet>
    </cfRule>
    <cfRule type="dataBar" priority="60">
      <dataBar>
        <cfvo type="min"/>
        <cfvo type="max"/>
        <color rgb="FF638EC6"/>
      </dataBar>
    </cfRule>
  </conditionalFormatting>
  <conditionalFormatting sqref="A32:A36">
    <cfRule type="dataBar" priority="61">
      <dataBar>
        <cfvo type="min"/>
        <cfvo type="max"/>
        <color theme="0"/>
      </dataBar>
    </cfRule>
    <cfRule type="dataBar" priority="62">
      <dataBar>
        <cfvo type="min"/>
        <cfvo type="max"/>
        <color theme="0"/>
      </dataBar>
    </cfRule>
  </conditionalFormatting>
  <conditionalFormatting sqref="A32:A36">
    <cfRule type="dataBar" priority="63">
      <dataBar>
        <cfvo type="min"/>
        <cfvo type="max"/>
        <color rgb="FFFF555A"/>
      </dataBar>
    </cfRule>
    <cfRule type="iconSet" priority="64">
      <iconSet iconSet="4TrafficLights">
        <cfvo type="percent" val="0"/>
        <cfvo type="percent" val="25"/>
        <cfvo type="percent" val="50"/>
        <cfvo type="percent" val="75"/>
      </iconSet>
    </cfRule>
    <cfRule type="dataBar" priority="65">
      <dataBar>
        <cfvo type="min"/>
        <cfvo type="max"/>
        <color rgb="FF638EC6"/>
      </dataBar>
    </cfRule>
  </conditionalFormatting>
  <conditionalFormatting sqref="A30:A31">
    <cfRule type="dataBar" priority="19">
      <dataBar>
        <cfvo type="min"/>
        <cfvo type="max"/>
        <color theme="0"/>
      </dataBar>
    </cfRule>
    <cfRule type="dataBar" priority="20">
      <dataBar>
        <cfvo type="min"/>
        <cfvo type="max"/>
        <color theme="0"/>
      </dataBar>
    </cfRule>
  </conditionalFormatting>
  <conditionalFormatting sqref="A30:A31">
    <cfRule type="dataBar" priority="16">
      <dataBar>
        <cfvo type="min"/>
        <cfvo type="max"/>
        <color rgb="FFFF555A"/>
      </dataBar>
    </cfRule>
    <cfRule type="iconSet" priority="17">
      <iconSet iconSet="4TrafficLights">
        <cfvo type="percent" val="0"/>
        <cfvo type="percent" val="25"/>
        <cfvo type="percent" val="50"/>
        <cfvo type="percent" val="75"/>
      </iconSet>
    </cfRule>
    <cfRule type="dataBar" priority="18">
      <dataBar>
        <cfvo type="min"/>
        <cfvo type="max"/>
        <color rgb="FF638EC6"/>
      </dataBar>
    </cfRule>
  </conditionalFormatting>
  <conditionalFormatting sqref="A30:A31">
    <cfRule type="dataBar" priority="24">
      <dataBar>
        <cfvo type="min"/>
        <cfvo type="max"/>
        <color theme="0"/>
      </dataBar>
    </cfRule>
    <cfRule type="dataBar" priority="25">
      <dataBar>
        <cfvo type="min"/>
        <cfvo type="max"/>
        <color theme="0"/>
      </dataBar>
    </cfRule>
  </conditionalFormatting>
  <conditionalFormatting sqref="A30:A31">
    <cfRule type="dataBar" priority="21">
      <dataBar>
        <cfvo type="min"/>
        <cfvo type="max"/>
        <color rgb="FFFF555A"/>
      </dataBar>
    </cfRule>
    <cfRule type="iconSet" priority="22">
      <iconSet iconSet="4TrafficLights">
        <cfvo type="percent" val="0"/>
        <cfvo type="percent" val="25"/>
        <cfvo type="percent" val="50"/>
        <cfvo type="percent" val="75"/>
      </iconSet>
    </cfRule>
    <cfRule type="dataBar" priority="23">
      <dataBar>
        <cfvo type="min"/>
        <cfvo type="max"/>
        <color rgb="FF638EC6"/>
      </dataBar>
    </cfRule>
  </conditionalFormatting>
  <conditionalFormatting sqref="A37:A39">
    <cfRule type="dataBar" priority="14">
      <dataBar>
        <cfvo type="min"/>
        <cfvo type="max"/>
        <color theme="0"/>
      </dataBar>
    </cfRule>
    <cfRule type="dataBar" priority="15">
      <dataBar>
        <cfvo type="min"/>
        <cfvo type="max"/>
        <color theme="0"/>
      </dataBar>
    </cfRule>
  </conditionalFormatting>
  <conditionalFormatting sqref="A37:A39">
    <cfRule type="dataBar" priority="11">
      <dataBar>
        <cfvo type="min"/>
        <cfvo type="max"/>
        <color rgb="FFFF555A"/>
      </dataBar>
    </cfRule>
    <cfRule type="iconSet" priority="12">
      <iconSet iconSet="4TrafficLights">
        <cfvo type="percent" val="0"/>
        <cfvo type="percent" val="25"/>
        <cfvo type="percent" val="50"/>
        <cfvo type="percent" val="75"/>
      </iconSet>
    </cfRule>
    <cfRule type="dataBar" priority="13">
      <dataBar>
        <cfvo type="min"/>
        <cfvo type="max"/>
        <color rgb="FF638EC6"/>
      </dataBar>
    </cfRule>
  </conditionalFormatting>
  <conditionalFormatting sqref="A40">
    <cfRule type="dataBar" priority="9">
      <dataBar>
        <cfvo type="min"/>
        <cfvo type="max"/>
        <color theme="0"/>
      </dataBar>
    </cfRule>
    <cfRule type="dataBar" priority="10">
      <dataBar>
        <cfvo type="min"/>
        <cfvo type="max"/>
        <color theme="0"/>
      </dataBar>
    </cfRule>
  </conditionalFormatting>
  <conditionalFormatting sqref="A40">
    <cfRule type="dataBar" priority="6">
      <dataBar>
        <cfvo type="min"/>
        <cfvo type="max"/>
        <color rgb="FFFF555A"/>
      </dataBar>
    </cfRule>
    <cfRule type="iconSet" priority="7">
      <iconSet iconSet="4TrafficLights">
        <cfvo type="percent" val="0"/>
        <cfvo type="percent" val="25"/>
        <cfvo type="percent" val="50"/>
        <cfvo type="percent" val="75"/>
      </iconSet>
    </cfRule>
    <cfRule type="dataBar" priority="8">
      <dataBar>
        <cfvo type="min"/>
        <cfvo type="max"/>
        <color rgb="FF638EC6"/>
      </dataBar>
    </cfRule>
  </conditionalFormatting>
  <conditionalFormatting sqref="A47">
    <cfRule type="dataBar" priority="4">
      <dataBar>
        <cfvo type="min"/>
        <cfvo type="max"/>
        <color theme="0"/>
      </dataBar>
    </cfRule>
    <cfRule type="dataBar" priority="5">
      <dataBar>
        <cfvo type="min"/>
        <cfvo type="max"/>
        <color theme="0"/>
      </dataBar>
    </cfRule>
  </conditionalFormatting>
  <conditionalFormatting sqref="A47">
    <cfRule type="dataBar" priority="1">
      <dataBar>
        <cfvo type="min"/>
        <cfvo type="max"/>
        <color rgb="FFFF555A"/>
      </dataBar>
    </cfRule>
    <cfRule type="iconSet" priority="2">
      <iconSet iconSet="4TrafficLights">
        <cfvo type="percent" val="0"/>
        <cfvo type="percent" val="25"/>
        <cfvo type="percent" val="50"/>
        <cfvo type="percent" val="75"/>
      </iconSet>
    </cfRule>
    <cfRule type="dataBar" priority="3">
      <dataBar>
        <cfvo type="min"/>
        <cfvo type="max"/>
        <color rgb="FF638EC6"/>
      </dataBar>
    </cfRule>
  </conditionalFormatting>
  <pageMargins left="0" right="0" top="0" bottom="0" header="0" footer="0"/>
  <pageSetup paperSize="9" scale="5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00"/>
  </sheetPr>
  <dimension ref="A1:Y57"/>
  <sheetViews>
    <sheetView topLeftCell="A16" zoomScale="80" zoomScaleNormal="80" workbookViewId="0">
      <selection activeCell="C31" sqref="C31:N31"/>
    </sheetView>
  </sheetViews>
  <sheetFormatPr defaultRowHeight="15" x14ac:dyDescent="0.25"/>
  <cols>
    <col min="1" max="1" width="24.42578125" style="210" customWidth="1"/>
    <col min="2" max="2" width="0.7109375" style="210" customWidth="1"/>
    <col min="3" max="3" width="18" style="210" customWidth="1"/>
    <col min="4" max="4" width="17.140625" style="210" customWidth="1"/>
    <col min="5" max="5" width="17" style="210" customWidth="1"/>
    <col min="6" max="6" width="16.7109375" style="210" customWidth="1"/>
    <col min="7" max="7" width="17" style="210" customWidth="1"/>
    <col min="8" max="8" width="18.140625" style="210" customWidth="1"/>
    <col min="9" max="9" width="17" style="210" customWidth="1"/>
    <col min="10" max="10" width="15.85546875" style="210" bestFit="1" customWidth="1"/>
    <col min="11" max="11" width="17.7109375" style="210" customWidth="1"/>
    <col min="12" max="12" width="15.85546875" style="210" bestFit="1" customWidth="1"/>
    <col min="13" max="13" width="17.5703125" style="210" customWidth="1"/>
    <col min="14" max="14" width="17.28515625" style="210" customWidth="1"/>
    <col min="15" max="15" width="17.7109375" style="210" bestFit="1" customWidth="1"/>
    <col min="16" max="16" width="18" style="210" bestFit="1" customWidth="1"/>
    <col min="17" max="16384" width="9.140625" style="210"/>
  </cols>
  <sheetData>
    <row r="1" spans="1:17" ht="25.5" x14ac:dyDescent="0.35">
      <c r="A1" s="314" t="s">
        <v>281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234"/>
    </row>
    <row r="2" spans="1:17" s="211" customFormat="1" ht="15" customHeight="1" x14ac:dyDescent="0.2">
      <c r="A2" s="315" t="s">
        <v>289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235"/>
    </row>
    <row r="3" spans="1:17" s="211" customFormat="1" ht="15" customHeight="1" x14ac:dyDescent="0.2">
      <c r="A3" s="316" t="s">
        <v>282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236"/>
    </row>
    <row r="4" spans="1:17" s="211" customFormat="1" ht="15" customHeight="1" x14ac:dyDescent="0.2">
      <c r="A4" s="317" t="s">
        <v>290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236"/>
    </row>
    <row r="5" spans="1:17" ht="31.5" customHeight="1" x14ac:dyDescent="0.5">
      <c r="A5" s="212"/>
      <c r="B5" s="212"/>
      <c r="C5" s="319" t="s">
        <v>269</v>
      </c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</row>
    <row r="6" spans="1:17" s="244" customFormat="1" ht="33" customHeight="1" x14ac:dyDescent="0.45">
      <c r="A6" s="259" t="s">
        <v>206</v>
      </c>
      <c r="B6" s="243"/>
      <c r="C6" s="217">
        <v>44197</v>
      </c>
      <c r="D6" s="217">
        <v>44228</v>
      </c>
      <c r="E6" s="217">
        <v>44256</v>
      </c>
      <c r="F6" s="300">
        <v>44287</v>
      </c>
      <c r="G6" s="300">
        <v>44317</v>
      </c>
      <c r="H6" s="300">
        <v>44348</v>
      </c>
      <c r="I6" s="300">
        <v>44378</v>
      </c>
      <c r="J6" s="300">
        <v>44409</v>
      </c>
      <c r="K6" s="300">
        <v>44440</v>
      </c>
      <c r="L6" s="300">
        <v>44470</v>
      </c>
      <c r="M6" s="300">
        <v>44501</v>
      </c>
      <c r="N6" s="300">
        <v>44531</v>
      </c>
      <c r="O6" s="244" t="s">
        <v>279</v>
      </c>
      <c r="P6" s="245" t="s">
        <v>280</v>
      </c>
      <c r="Q6" s="245"/>
    </row>
    <row r="7" spans="1:17" ht="23.25" x14ac:dyDescent="0.35">
      <c r="A7" s="273" t="s">
        <v>271</v>
      </c>
      <c r="C7" s="220">
        <v>1683326.67</v>
      </c>
      <c r="D7" s="220">
        <v>480477.97</v>
      </c>
      <c r="E7" s="220">
        <v>720711.07</v>
      </c>
      <c r="F7" s="220">
        <v>971601.17</v>
      </c>
      <c r="G7" s="220">
        <v>959661.47</v>
      </c>
      <c r="H7" s="220">
        <v>963361.47</v>
      </c>
      <c r="I7" s="220">
        <v>959661.47</v>
      </c>
      <c r="J7" s="220">
        <v>959661.47</v>
      </c>
      <c r="K7" s="220">
        <v>1137661.47</v>
      </c>
      <c r="L7" s="220">
        <v>959661.47</v>
      </c>
      <c r="M7" s="220">
        <v>959661.47</v>
      </c>
      <c r="N7" s="220">
        <v>2348186.4700000002</v>
      </c>
      <c r="O7" s="246">
        <f>SUM(P7/12)</f>
        <v>1091969.47</v>
      </c>
      <c r="P7" s="248">
        <f>SUM(C7:N7)</f>
        <v>13103633.640000001</v>
      </c>
      <c r="Q7" s="233"/>
    </row>
    <row r="8" spans="1:17" ht="23.25" x14ac:dyDescent="0.35">
      <c r="A8" s="273" t="s">
        <v>270</v>
      </c>
      <c r="C8" s="220">
        <v>598525</v>
      </c>
      <c r="D8" s="220">
        <v>598525</v>
      </c>
      <c r="E8" s="220">
        <v>648525</v>
      </c>
      <c r="F8" s="220">
        <v>648525</v>
      </c>
      <c r="G8" s="220">
        <v>648525</v>
      </c>
      <c r="H8" s="220">
        <v>698525</v>
      </c>
      <c r="I8" s="220">
        <v>698525</v>
      </c>
      <c r="J8" s="220">
        <v>698525</v>
      </c>
      <c r="K8" s="220">
        <v>698525</v>
      </c>
      <c r="L8" s="220">
        <v>698525</v>
      </c>
      <c r="M8" s="220">
        <v>698525</v>
      </c>
      <c r="N8" s="220">
        <v>698525</v>
      </c>
      <c r="O8" s="246">
        <f>SUM(P8/12)</f>
        <v>669358.33333333337</v>
      </c>
      <c r="P8" s="248">
        <f>SUM(C8:N8)</f>
        <v>8032300</v>
      </c>
      <c r="Q8" s="233"/>
    </row>
    <row r="9" spans="1:17" ht="23.25" x14ac:dyDescent="0.35">
      <c r="A9" s="273" t="s">
        <v>272</v>
      </c>
      <c r="C9" s="220">
        <v>340000</v>
      </c>
      <c r="D9" s="220">
        <v>340000</v>
      </c>
      <c r="E9" s="220">
        <v>340000</v>
      </c>
      <c r="F9" s="220">
        <v>340000</v>
      </c>
      <c r="G9" s="220">
        <v>340000</v>
      </c>
      <c r="H9" s="220">
        <v>340000</v>
      </c>
      <c r="I9" s="220">
        <v>340000</v>
      </c>
      <c r="J9" s="220">
        <v>340000</v>
      </c>
      <c r="K9" s="220">
        <v>400000</v>
      </c>
      <c r="L9" s="220">
        <v>528000</v>
      </c>
      <c r="M9" s="220">
        <v>400000</v>
      </c>
      <c r="N9" s="220">
        <v>420000</v>
      </c>
      <c r="O9" s="246">
        <f>SUM(P9/12)</f>
        <v>372333.33333333331</v>
      </c>
      <c r="P9" s="248">
        <f>SUM(C9:N9)</f>
        <v>4468000</v>
      </c>
      <c r="Q9" s="233"/>
    </row>
    <row r="10" spans="1:17" s="216" customFormat="1" ht="22.5" x14ac:dyDescent="0.45">
      <c r="A10" s="260" t="s">
        <v>32</v>
      </c>
      <c r="B10" s="224"/>
      <c r="C10" s="242">
        <f t="shared" ref="C10:N10" si="0">SUM(C7:C9)</f>
        <v>2621851.67</v>
      </c>
      <c r="D10" s="242">
        <f t="shared" si="0"/>
        <v>1419002.97</v>
      </c>
      <c r="E10" s="242">
        <f t="shared" si="0"/>
        <v>1709236.0699999998</v>
      </c>
      <c r="F10" s="242">
        <f t="shared" si="0"/>
        <v>1960126.17</v>
      </c>
      <c r="G10" s="242">
        <f t="shared" si="0"/>
        <v>1948186.47</v>
      </c>
      <c r="H10" s="242">
        <f t="shared" si="0"/>
        <v>2001886.47</v>
      </c>
      <c r="I10" s="242">
        <f t="shared" si="0"/>
        <v>1998186.47</v>
      </c>
      <c r="J10" s="242">
        <f t="shared" si="0"/>
        <v>1998186.47</v>
      </c>
      <c r="K10" s="242">
        <f t="shared" si="0"/>
        <v>2236186.4699999997</v>
      </c>
      <c r="L10" s="242">
        <f t="shared" si="0"/>
        <v>2186186.4699999997</v>
      </c>
      <c r="M10" s="242">
        <f t="shared" si="0"/>
        <v>2058186.47</v>
      </c>
      <c r="N10" s="242">
        <f t="shared" si="0"/>
        <v>3466711.47</v>
      </c>
      <c r="O10" s="242">
        <f t="shared" ref="O10" si="1">SUM(O7:O9)</f>
        <v>2133661.1366666667</v>
      </c>
      <c r="P10" s="232">
        <f>P7+P8+P9</f>
        <v>25603933.640000001</v>
      </c>
      <c r="Q10" s="224"/>
    </row>
    <row r="11" spans="1:17" s="240" customFormat="1" ht="12.75" x14ac:dyDescent="0.2">
      <c r="A11" s="239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P11" s="241"/>
      <c r="Q11" s="241"/>
    </row>
    <row r="12" spans="1:17" s="240" customFormat="1" ht="12" customHeight="1" x14ac:dyDescent="0.2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P12" s="241"/>
      <c r="Q12" s="241"/>
    </row>
    <row r="13" spans="1:17" ht="31.5" customHeight="1" x14ac:dyDescent="0.5">
      <c r="A13" s="212"/>
      <c r="B13" s="212"/>
      <c r="C13" s="320" t="s">
        <v>258</v>
      </c>
      <c r="D13" s="320"/>
      <c r="E13" s="320"/>
      <c r="F13" s="320"/>
      <c r="G13" s="320"/>
      <c r="H13" s="320"/>
      <c r="I13" s="320"/>
      <c r="J13" s="320"/>
      <c r="K13" s="320"/>
      <c r="L13" s="320"/>
      <c r="M13" s="320"/>
      <c r="N13" s="320"/>
    </row>
    <row r="14" spans="1:17" ht="6" customHeight="1" x14ac:dyDescent="0.45">
      <c r="A14" s="213"/>
      <c r="B14" s="213"/>
      <c r="C14" s="213"/>
      <c r="D14" s="213"/>
      <c r="E14" s="318"/>
      <c r="F14" s="318"/>
      <c r="G14" s="318"/>
      <c r="H14" s="318"/>
      <c r="I14" s="318"/>
      <c r="J14" s="318"/>
    </row>
    <row r="15" spans="1:17" s="216" customFormat="1" ht="15.75" x14ac:dyDescent="0.3">
      <c r="A15" s="215"/>
      <c r="C15" s="217">
        <v>44197</v>
      </c>
      <c r="D15" s="217">
        <v>44228</v>
      </c>
      <c r="E15" s="217">
        <v>44256</v>
      </c>
      <c r="F15" s="217">
        <v>44287</v>
      </c>
      <c r="G15" s="217">
        <v>44317</v>
      </c>
      <c r="H15" s="217">
        <v>44348</v>
      </c>
      <c r="I15" s="217">
        <v>44378</v>
      </c>
      <c r="J15" s="217">
        <v>44409</v>
      </c>
      <c r="K15" s="217">
        <v>44440</v>
      </c>
      <c r="L15" s="217">
        <v>44470</v>
      </c>
      <c r="M15" s="217">
        <v>44501</v>
      </c>
      <c r="N15" s="217">
        <v>44531</v>
      </c>
      <c r="P15" s="224"/>
    </row>
    <row r="16" spans="1:17" s="216" customFormat="1" ht="15.75" x14ac:dyDescent="0.3">
      <c r="A16" s="230" t="s">
        <v>1</v>
      </c>
      <c r="B16" s="219"/>
      <c r="C16" s="237">
        <v>69298.64</v>
      </c>
      <c r="D16" s="220">
        <v>64426.1</v>
      </c>
      <c r="E16" s="220">
        <v>62695.13</v>
      </c>
      <c r="F16" s="237">
        <v>69522.97</v>
      </c>
      <c r="G16" s="220">
        <v>59193.42</v>
      </c>
      <c r="H16" s="237">
        <v>59879.21</v>
      </c>
      <c r="I16" s="220">
        <v>57396.27</v>
      </c>
      <c r="J16" s="220">
        <v>55318.9</v>
      </c>
      <c r="K16" s="220">
        <v>63584.55</v>
      </c>
      <c r="L16" s="220">
        <v>82876.320000000007</v>
      </c>
      <c r="M16" s="220">
        <v>72092.72</v>
      </c>
      <c r="N16" s="220">
        <v>74687.539999999994</v>
      </c>
      <c r="O16" s="221"/>
      <c r="P16" s="228"/>
    </row>
    <row r="17" spans="1:16" s="216" customFormat="1" ht="15.75" x14ac:dyDescent="0.3">
      <c r="A17" s="218" t="s">
        <v>0</v>
      </c>
      <c r="B17" s="219"/>
      <c r="C17" s="237">
        <v>1517.02</v>
      </c>
      <c r="D17" s="220">
        <v>1403.86</v>
      </c>
      <c r="E17" s="220">
        <v>1525.3</v>
      </c>
      <c r="F17" s="237">
        <v>1425.94</v>
      </c>
      <c r="G17" s="220">
        <v>1922.74</v>
      </c>
      <c r="H17" s="237">
        <v>1263.0999999999999</v>
      </c>
      <c r="I17" s="220">
        <v>3301.37</v>
      </c>
      <c r="J17" s="220">
        <v>1692.31</v>
      </c>
      <c r="K17" s="220">
        <v>1539.17</v>
      </c>
      <c r="L17" s="220">
        <v>1359.53</v>
      </c>
      <c r="M17" s="220">
        <v>1229.95</v>
      </c>
      <c r="N17" s="220">
        <v>1120.98</v>
      </c>
      <c r="O17" s="221"/>
      <c r="P17" s="228"/>
    </row>
    <row r="18" spans="1:16" s="216" customFormat="1" ht="16.5" customHeight="1" x14ac:dyDescent="0.3">
      <c r="A18" s="218" t="s">
        <v>89</v>
      </c>
      <c r="B18" s="219"/>
      <c r="C18" s="237">
        <v>2612.14</v>
      </c>
      <c r="D18" s="220">
        <v>1615.3</v>
      </c>
      <c r="E18" s="220">
        <v>4454.96</v>
      </c>
      <c r="F18" s="237">
        <v>1828.35</v>
      </c>
      <c r="G18" s="220">
        <v>891.92</v>
      </c>
      <c r="H18" s="237">
        <v>1184.77</v>
      </c>
      <c r="I18" s="220">
        <v>1655.88</v>
      </c>
      <c r="J18" s="220">
        <v>2621.21</v>
      </c>
      <c r="K18" s="220">
        <v>1881.29</v>
      </c>
      <c r="L18" s="220">
        <v>1817.28</v>
      </c>
      <c r="M18" s="220">
        <v>2337.1799999999998</v>
      </c>
      <c r="N18" s="220">
        <v>2316.23</v>
      </c>
      <c r="O18" s="221"/>
      <c r="P18" s="228"/>
    </row>
    <row r="19" spans="1:16" s="216" customFormat="1" ht="15.75" x14ac:dyDescent="0.3">
      <c r="A19" s="218" t="s">
        <v>273</v>
      </c>
      <c r="B19" s="219"/>
      <c r="C19" s="237">
        <v>95.14</v>
      </c>
      <c r="D19" s="220">
        <v>0</v>
      </c>
      <c r="E19" s="220">
        <v>1298.8499999999999</v>
      </c>
      <c r="F19" s="237"/>
      <c r="G19" s="220">
        <v>352.12</v>
      </c>
      <c r="H19" s="237">
        <v>110.43</v>
      </c>
      <c r="I19" s="220">
        <v>339.45</v>
      </c>
      <c r="J19" s="220"/>
      <c r="K19" s="220"/>
      <c r="L19" s="220">
        <v>422.1</v>
      </c>
      <c r="M19" s="220">
        <v>1302.52</v>
      </c>
      <c r="N19" s="220">
        <v>1295.6400000000001</v>
      </c>
      <c r="O19" s="221"/>
      <c r="P19" s="228"/>
    </row>
    <row r="20" spans="1:16" s="216" customFormat="1" ht="15.75" x14ac:dyDescent="0.3">
      <c r="A20" s="218" t="s">
        <v>261</v>
      </c>
      <c r="B20" s="219"/>
      <c r="C20" s="237">
        <v>158084.56</v>
      </c>
      <c r="D20" s="220">
        <v>117947.64</v>
      </c>
      <c r="E20" s="220">
        <v>144216.60999999999</v>
      </c>
      <c r="F20" s="237">
        <v>155181.26</v>
      </c>
      <c r="G20" s="220">
        <v>177626.11</v>
      </c>
      <c r="H20" s="237">
        <v>154633.49</v>
      </c>
      <c r="I20" s="220">
        <v>179323.73</v>
      </c>
      <c r="J20" s="220">
        <v>145270.39000000001</v>
      </c>
      <c r="K20" s="220">
        <v>198071.54</v>
      </c>
      <c r="L20" s="220">
        <v>141548</v>
      </c>
      <c r="M20" s="220">
        <v>183812.08</v>
      </c>
      <c r="N20" s="220">
        <v>249244.51</v>
      </c>
      <c r="O20" s="221"/>
      <c r="P20" s="228"/>
    </row>
    <row r="21" spans="1:16" s="216" customFormat="1" ht="15.75" x14ac:dyDescent="0.3">
      <c r="A21" s="218" t="s">
        <v>287</v>
      </c>
      <c r="B21" s="219"/>
      <c r="C21" s="237">
        <v>2392.25</v>
      </c>
      <c r="D21" s="220">
        <v>969.74</v>
      </c>
      <c r="E21" s="220">
        <v>4341.1499999999996</v>
      </c>
      <c r="F21" s="237">
        <v>1231.07</v>
      </c>
      <c r="G21" s="220">
        <v>14565.89</v>
      </c>
      <c r="H21" s="237">
        <v>8005.62</v>
      </c>
      <c r="I21" s="220">
        <v>4513.7</v>
      </c>
      <c r="J21" s="220">
        <v>14866.21</v>
      </c>
      <c r="K21" s="220">
        <v>36096.18</v>
      </c>
      <c r="L21" s="220">
        <v>16813.080000000002</v>
      </c>
      <c r="M21" s="220">
        <v>13254.84</v>
      </c>
      <c r="N21" s="220">
        <v>9952.56</v>
      </c>
      <c r="O21" s="221"/>
      <c r="P21" s="228"/>
    </row>
    <row r="22" spans="1:16" s="216" customFormat="1" ht="15.75" x14ac:dyDescent="0.3">
      <c r="A22" s="218" t="s">
        <v>285</v>
      </c>
      <c r="B22" s="219"/>
      <c r="C22" s="237">
        <v>57558.92</v>
      </c>
      <c r="D22" s="220">
        <v>61915.09</v>
      </c>
      <c r="E22" s="220">
        <v>56398.39</v>
      </c>
      <c r="F22" s="237">
        <v>46658.83</v>
      </c>
      <c r="G22" s="220">
        <v>90772.14</v>
      </c>
      <c r="H22" s="237">
        <v>113635.21</v>
      </c>
      <c r="I22" s="220">
        <v>124529.72</v>
      </c>
      <c r="J22" s="220">
        <v>110018.78</v>
      </c>
      <c r="K22" s="220">
        <v>90479.18</v>
      </c>
      <c r="L22" s="220">
        <v>110988.81</v>
      </c>
      <c r="M22" s="220">
        <v>123475.15</v>
      </c>
      <c r="N22" s="220">
        <v>107492.58</v>
      </c>
      <c r="O22" s="221"/>
      <c r="P22" s="228"/>
    </row>
    <row r="23" spans="1:16" s="216" customFormat="1" ht="15.75" x14ac:dyDescent="0.3">
      <c r="A23" s="218" t="s">
        <v>265</v>
      </c>
      <c r="B23" s="219"/>
      <c r="C23" s="237">
        <v>34848.06</v>
      </c>
      <c r="D23" s="220">
        <v>56500.14</v>
      </c>
      <c r="E23" s="220">
        <v>59555.64</v>
      </c>
      <c r="F23" s="237">
        <v>45148.2</v>
      </c>
      <c r="G23" s="220">
        <v>55829.9</v>
      </c>
      <c r="H23" s="237">
        <v>7783.46</v>
      </c>
      <c r="I23" s="220">
        <v>12601.62</v>
      </c>
      <c r="J23" s="220">
        <v>8143.84</v>
      </c>
      <c r="K23" s="220">
        <v>7155.61</v>
      </c>
      <c r="L23" s="220">
        <v>9595.5499999999993</v>
      </c>
      <c r="M23" s="220">
        <v>11302.77</v>
      </c>
      <c r="N23" s="220">
        <v>7900.1</v>
      </c>
      <c r="O23" s="221"/>
      <c r="P23" s="228"/>
    </row>
    <row r="24" spans="1:16" s="216" customFormat="1" ht="15.75" x14ac:dyDescent="0.3">
      <c r="A24" s="218" t="s">
        <v>14</v>
      </c>
      <c r="B24" s="219"/>
      <c r="C24" s="237">
        <v>4225</v>
      </c>
      <c r="D24" s="220">
        <v>695</v>
      </c>
      <c r="E24" s="220">
        <v>93985.49</v>
      </c>
      <c r="F24" s="237">
        <v>13340</v>
      </c>
      <c r="G24" s="220">
        <v>6300</v>
      </c>
      <c r="H24" s="237">
        <v>7060</v>
      </c>
      <c r="I24" s="220">
        <v>7425</v>
      </c>
      <c r="J24" s="220">
        <v>3335</v>
      </c>
      <c r="K24" s="220">
        <v>3625</v>
      </c>
      <c r="L24" s="220">
        <v>2315</v>
      </c>
      <c r="M24" s="220">
        <v>3665</v>
      </c>
      <c r="N24" s="220">
        <v>3090</v>
      </c>
      <c r="O24" s="221"/>
      <c r="P24" s="228"/>
    </row>
    <row r="25" spans="1:16" s="216" customFormat="1" ht="15.75" x14ac:dyDescent="0.3">
      <c r="A25" s="218" t="s">
        <v>277</v>
      </c>
      <c r="B25" s="219"/>
      <c r="C25" s="237">
        <v>2936.46</v>
      </c>
      <c r="D25" s="220">
        <v>0</v>
      </c>
      <c r="E25" s="220">
        <v>3691.1</v>
      </c>
      <c r="F25" s="237">
        <v>0</v>
      </c>
      <c r="G25" s="220">
        <v>5810.18</v>
      </c>
      <c r="H25" s="237">
        <v>2255.79</v>
      </c>
      <c r="I25" s="220">
        <v>7707.22</v>
      </c>
      <c r="J25" s="220">
        <v>853</v>
      </c>
      <c r="K25" s="220">
        <v>5809.62</v>
      </c>
      <c r="L25" s="220">
        <v>321.62</v>
      </c>
      <c r="M25" s="220">
        <v>6988.77</v>
      </c>
      <c r="N25" s="220">
        <v>7106.89</v>
      </c>
      <c r="O25" s="221"/>
      <c r="P25" s="228"/>
    </row>
    <row r="26" spans="1:16" s="216" customFormat="1" ht="15.75" x14ac:dyDescent="0.3">
      <c r="A26" s="218" t="s">
        <v>259</v>
      </c>
      <c r="B26" s="219"/>
      <c r="C26" s="237"/>
      <c r="D26" s="220"/>
      <c r="E26" s="220"/>
      <c r="F26" s="237"/>
      <c r="G26" s="220"/>
      <c r="H26" s="237"/>
      <c r="I26" s="220"/>
      <c r="J26" s="220"/>
      <c r="K26" s="220"/>
      <c r="L26" s="220"/>
      <c r="M26" s="220"/>
      <c r="N26" s="220"/>
      <c r="O26" s="221"/>
      <c r="P26" s="228"/>
    </row>
    <row r="27" spans="1:16" s="216" customFormat="1" ht="15.75" x14ac:dyDescent="0.3">
      <c r="A27" s="230" t="s">
        <v>78</v>
      </c>
      <c r="B27" s="219"/>
      <c r="C27" s="237"/>
      <c r="D27" s="220"/>
      <c r="E27" s="220"/>
      <c r="F27" s="237"/>
      <c r="G27" s="220"/>
      <c r="H27" s="237"/>
      <c r="I27" s="220"/>
      <c r="J27" s="220"/>
      <c r="K27" s="220"/>
      <c r="L27" s="220"/>
      <c r="M27" s="220"/>
      <c r="N27" s="220"/>
      <c r="O27" s="221"/>
      <c r="P27" s="228"/>
    </row>
    <row r="28" spans="1:16" s="216" customFormat="1" ht="15.75" x14ac:dyDescent="0.3">
      <c r="A28" s="218" t="s">
        <v>288</v>
      </c>
      <c r="B28" s="219"/>
      <c r="C28" s="237">
        <v>15495.55</v>
      </c>
      <c r="D28" s="220">
        <v>27189.95</v>
      </c>
      <c r="E28" s="220">
        <v>26073.4</v>
      </c>
      <c r="F28" s="237">
        <v>28329.79</v>
      </c>
      <c r="G28" s="220">
        <v>55924.98</v>
      </c>
      <c r="H28" s="237">
        <v>33449.39</v>
      </c>
      <c r="I28" s="220">
        <v>23588.1</v>
      </c>
      <c r="J28" s="220">
        <v>25173.41</v>
      </c>
      <c r="K28" s="220">
        <v>28387.01</v>
      </c>
      <c r="L28" s="220">
        <v>15199.15</v>
      </c>
      <c r="M28" s="220">
        <v>8732.7000000000007</v>
      </c>
      <c r="N28" s="220">
        <v>21050.55</v>
      </c>
      <c r="O28" s="221"/>
      <c r="P28" s="228"/>
    </row>
    <row r="29" spans="1:16" s="297" customFormat="1" ht="15.75" x14ac:dyDescent="0.3">
      <c r="A29" s="292" t="s">
        <v>266</v>
      </c>
      <c r="B29" s="293"/>
      <c r="C29" s="237">
        <v>574659.65</v>
      </c>
      <c r="D29" s="220">
        <v>559579.64</v>
      </c>
      <c r="E29" s="220">
        <v>604377.27</v>
      </c>
      <c r="F29" s="237">
        <v>579340.11</v>
      </c>
      <c r="G29" s="220">
        <v>604702.66</v>
      </c>
      <c r="H29" s="237">
        <v>564917.43000000005</v>
      </c>
      <c r="I29" s="294">
        <v>560383.24</v>
      </c>
      <c r="J29" s="294">
        <v>559023.28</v>
      </c>
      <c r="K29" s="294">
        <v>556673.34</v>
      </c>
      <c r="L29" s="294">
        <v>589754.59</v>
      </c>
      <c r="M29" s="294">
        <v>633324.26</v>
      </c>
      <c r="N29" s="294">
        <v>619084.62</v>
      </c>
      <c r="O29" s="295"/>
      <c r="P29" s="296"/>
    </row>
    <row r="30" spans="1:16" s="216" customFormat="1" ht="15.75" x14ac:dyDescent="0.3">
      <c r="A30" s="230" t="s">
        <v>254</v>
      </c>
      <c r="B30" s="219"/>
      <c r="C30" s="237"/>
      <c r="D30" s="220"/>
      <c r="E30" s="220"/>
      <c r="F30" s="237"/>
      <c r="G30" s="220"/>
      <c r="H30" s="237"/>
      <c r="I30" s="220"/>
      <c r="J30" s="220"/>
      <c r="K30" s="220"/>
      <c r="L30" s="220"/>
      <c r="M30" s="220"/>
      <c r="N30" s="220"/>
      <c r="O30" s="221"/>
      <c r="P30" s="228"/>
    </row>
    <row r="31" spans="1:16" s="297" customFormat="1" ht="15.75" x14ac:dyDescent="0.3">
      <c r="A31" s="298" t="s">
        <v>72</v>
      </c>
      <c r="C31" s="237">
        <v>57739.77</v>
      </c>
      <c r="D31" s="237">
        <v>50431.75</v>
      </c>
      <c r="E31" s="237">
        <v>54729.42</v>
      </c>
      <c r="F31" s="237">
        <v>42407.63</v>
      </c>
      <c r="G31" s="237">
        <v>52175.16</v>
      </c>
      <c r="H31" s="237">
        <v>42550.21</v>
      </c>
      <c r="I31" s="299">
        <v>43107.44</v>
      </c>
      <c r="J31" s="299">
        <v>42496.68</v>
      </c>
      <c r="K31" s="299">
        <v>42025.760000000002</v>
      </c>
      <c r="L31" s="299">
        <v>47102.09</v>
      </c>
      <c r="M31" s="299">
        <v>53089.88</v>
      </c>
      <c r="N31" s="299">
        <v>50052.81</v>
      </c>
      <c r="O31" s="295"/>
      <c r="P31" s="296"/>
    </row>
    <row r="32" spans="1:16" s="216" customFormat="1" ht="15.75" x14ac:dyDescent="0.3">
      <c r="A32" s="218" t="s">
        <v>262</v>
      </c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21"/>
      <c r="P32" s="228"/>
    </row>
    <row r="33" spans="1:25" s="216" customFormat="1" ht="15.75" x14ac:dyDescent="0.3">
      <c r="A33" s="218" t="s">
        <v>263</v>
      </c>
      <c r="B33" s="219"/>
      <c r="C33" s="237">
        <v>9900</v>
      </c>
      <c r="D33" s="220">
        <v>9900</v>
      </c>
      <c r="E33" s="220">
        <v>9900</v>
      </c>
      <c r="F33" s="237">
        <v>9900</v>
      </c>
      <c r="G33" s="220">
        <v>9900</v>
      </c>
      <c r="H33" s="237">
        <v>9900</v>
      </c>
      <c r="I33" s="220">
        <v>9900</v>
      </c>
      <c r="J33" s="220">
        <v>9900</v>
      </c>
      <c r="K33" s="220">
        <v>9900</v>
      </c>
      <c r="L33" s="220">
        <v>9900</v>
      </c>
      <c r="M33" s="220">
        <v>9900</v>
      </c>
      <c r="N33" s="220">
        <v>9900</v>
      </c>
      <c r="O33" s="221"/>
      <c r="P33" s="228"/>
    </row>
    <row r="34" spans="1:25" s="216" customFormat="1" ht="15.75" x14ac:dyDescent="0.3">
      <c r="A34" s="218" t="s">
        <v>183</v>
      </c>
      <c r="B34" s="219"/>
      <c r="C34" s="237">
        <v>15000</v>
      </c>
      <c r="D34" s="220">
        <v>19500</v>
      </c>
      <c r="E34" s="220">
        <v>24000</v>
      </c>
      <c r="F34" s="237">
        <v>19500</v>
      </c>
      <c r="G34" s="220">
        <v>19500</v>
      </c>
      <c r="H34" s="237">
        <v>19500</v>
      </c>
      <c r="I34" s="220">
        <v>19500</v>
      </c>
      <c r="J34" s="220">
        <v>4500</v>
      </c>
      <c r="K34" s="220">
        <v>15000</v>
      </c>
      <c r="L34" s="220">
        <v>39000</v>
      </c>
      <c r="M34" s="220"/>
      <c r="N34" s="220">
        <v>43500</v>
      </c>
      <c r="O34" s="221"/>
      <c r="P34" s="228"/>
    </row>
    <row r="35" spans="1:25" s="216" customFormat="1" ht="15.75" x14ac:dyDescent="0.3">
      <c r="A35" s="218" t="s">
        <v>264</v>
      </c>
      <c r="B35" s="219"/>
      <c r="C35" s="237">
        <v>56321.45</v>
      </c>
      <c r="D35" s="220">
        <v>54687.4</v>
      </c>
      <c r="E35" s="220">
        <v>96135.66</v>
      </c>
      <c r="F35" s="237">
        <v>22000</v>
      </c>
      <c r="G35" s="220">
        <v>64457.16</v>
      </c>
      <c r="H35" s="237">
        <v>79228.22</v>
      </c>
      <c r="I35" s="220">
        <v>74632.78</v>
      </c>
      <c r="J35" s="220">
        <v>17500</v>
      </c>
      <c r="K35" s="220">
        <v>84010.02</v>
      </c>
      <c r="L35" s="220">
        <v>95900.85</v>
      </c>
      <c r="M35" s="220">
        <v>80002.240000000005</v>
      </c>
      <c r="N35" s="220">
        <v>123978.7</v>
      </c>
      <c r="O35" s="221"/>
      <c r="P35" s="228"/>
    </row>
    <row r="36" spans="1:25" s="216" customFormat="1" ht="15.75" x14ac:dyDescent="0.3">
      <c r="A36" s="218" t="s">
        <v>276</v>
      </c>
      <c r="B36" s="219"/>
      <c r="C36" s="237">
        <v>1298978.57</v>
      </c>
      <c r="D36" s="220">
        <v>996852.7</v>
      </c>
      <c r="E36" s="220">
        <v>1044842.84</v>
      </c>
      <c r="F36" s="237">
        <v>853593.33</v>
      </c>
      <c r="G36" s="220">
        <v>886745.58</v>
      </c>
      <c r="H36" s="237">
        <v>962136.97</v>
      </c>
      <c r="I36" s="220">
        <v>997912.71</v>
      </c>
      <c r="J36" s="220">
        <v>899874.09</v>
      </c>
      <c r="K36" s="220">
        <v>476023.4</v>
      </c>
      <c r="L36" s="220">
        <v>1278972.98</v>
      </c>
      <c r="M36" s="220">
        <v>883032.56</v>
      </c>
      <c r="N36" s="220">
        <v>1780347.59</v>
      </c>
      <c r="O36" s="221"/>
      <c r="P36" s="228"/>
    </row>
    <row r="37" spans="1:25" s="216" customFormat="1" ht="15.75" x14ac:dyDescent="0.3">
      <c r="A37" s="230" t="s">
        <v>286</v>
      </c>
      <c r="B37" s="219"/>
      <c r="C37" s="237">
        <v>14473.89</v>
      </c>
      <c r="D37" s="220">
        <v>9135.33</v>
      </c>
      <c r="E37" s="220">
        <v>26136.77</v>
      </c>
      <c r="F37" s="237">
        <v>13907.32</v>
      </c>
      <c r="G37" s="220">
        <v>14185.1</v>
      </c>
      <c r="H37" s="237">
        <v>15472.29</v>
      </c>
      <c r="I37" s="220">
        <v>9474.5499999999993</v>
      </c>
      <c r="J37" s="220">
        <v>23056.02</v>
      </c>
      <c r="K37" s="220">
        <v>21113.21</v>
      </c>
      <c r="L37" s="220">
        <v>8993.35</v>
      </c>
      <c r="M37" s="220">
        <v>18579.77</v>
      </c>
      <c r="N37" s="220">
        <v>17027.21</v>
      </c>
      <c r="O37" s="221"/>
      <c r="P37" s="228"/>
    </row>
    <row r="38" spans="1:25" s="216" customFormat="1" ht="15.75" x14ac:dyDescent="0.3">
      <c r="A38" s="218" t="s">
        <v>275</v>
      </c>
      <c r="B38" s="219"/>
      <c r="C38" s="237">
        <v>1004.7</v>
      </c>
      <c r="D38" s="220">
        <v>2065.6999999999998</v>
      </c>
      <c r="E38" s="220">
        <v>2804.7</v>
      </c>
      <c r="F38" s="237">
        <v>1156.7</v>
      </c>
      <c r="G38" s="220">
        <v>1156.9000000000001</v>
      </c>
      <c r="H38" s="237">
        <v>1237.76</v>
      </c>
      <c r="I38" s="220">
        <v>1004.7</v>
      </c>
      <c r="J38" s="220">
        <v>1402.65</v>
      </c>
      <c r="K38" s="220">
        <v>1155.5999999999999</v>
      </c>
      <c r="L38" s="220">
        <v>1160.2</v>
      </c>
      <c r="M38" s="220">
        <v>1392.44</v>
      </c>
      <c r="N38" s="220">
        <v>3326.8</v>
      </c>
      <c r="O38" s="221"/>
      <c r="P38" s="228"/>
    </row>
    <row r="39" spans="1:25" s="216" customFormat="1" ht="15.75" x14ac:dyDescent="0.3">
      <c r="A39" s="218" t="s">
        <v>274</v>
      </c>
      <c r="B39" s="219"/>
      <c r="C39" s="237">
        <v>93898.05</v>
      </c>
      <c r="D39" s="220">
        <v>230454.36</v>
      </c>
      <c r="E39" s="220">
        <v>317893.59000000003</v>
      </c>
      <c r="F39" s="237">
        <v>80101.070000000007</v>
      </c>
      <c r="G39" s="220">
        <v>291494.05</v>
      </c>
      <c r="H39" s="237">
        <v>94405.78</v>
      </c>
      <c r="I39" s="220">
        <v>350301.59</v>
      </c>
      <c r="J39" s="220">
        <v>162349.96</v>
      </c>
      <c r="K39" s="220">
        <v>130777.39</v>
      </c>
      <c r="L39" s="220">
        <v>247053.44</v>
      </c>
      <c r="M39" s="220">
        <v>99327.3</v>
      </c>
      <c r="N39" s="220">
        <v>146505.9</v>
      </c>
      <c r="O39" s="221"/>
      <c r="P39" s="228"/>
    </row>
    <row r="40" spans="1:25" s="216" customFormat="1" ht="15.75" x14ac:dyDescent="0.3">
      <c r="A40" s="218" t="s">
        <v>278</v>
      </c>
      <c r="B40" s="219"/>
      <c r="C40" s="237">
        <v>2100</v>
      </c>
      <c r="D40" s="220">
        <v>2100</v>
      </c>
      <c r="E40" s="220">
        <v>2100</v>
      </c>
      <c r="F40" s="237">
        <v>0</v>
      </c>
      <c r="G40" s="220">
        <v>0</v>
      </c>
      <c r="H40" s="237"/>
      <c r="I40" s="220"/>
      <c r="J40" s="220"/>
      <c r="K40" s="220"/>
      <c r="L40" s="220"/>
      <c r="M40" s="220"/>
      <c r="N40" s="220"/>
      <c r="O40" s="221"/>
      <c r="P40" s="228"/>
    </row>
    <row r="41" spans="1:25" s="216" customFormat="1" ht="15.75" x14ac:dyDescent="0.3">
      <c r="A41" s="218"/>
      <c r="B41" s="219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1"/>
      <c r="P41" s="228"/>
    </row>
    <row r="42" spans="1:25" s="216" customFormat="1" ht="15.75" x14ac:dyDescent="0.3">
      <c r="A42" s="223" t="s">
        <v>32</v>
      </c>
      <c r="B42" s="224"/>
      <c r="C42" s="225">
        <f t="shared" ref="C42:N42" si="2">SUM(C16:C40)</f>
        <v>2473139.8200000003</v>
      </c>
      <c r="D42" s="225">
        <f t="shared" si="2"/>
        <v>2267369.7000000002</v>
      </c>
      <c r="E42" s="225">
        <f t="shared" si="2"/>
        <v>2641156.27</v>
      </c>
      <c r="F42" s="225">
        <f t="shared" si="2"/>
        <v>1984572.57</v>
      </c>
      <c r="G42" s="225">
        <f t="shared" si="2"/>
        <v>2413506.0099999998</v>
      </c>
      <c r="H42" s="225">
        <f t="shared" si="2"/>
        <v>2178609.13</v>
      </c>
      <c r="I42" s="225">
        <f t="shared" si="2"/>
        <v>2488599.0699999998</v>
      </c>
      <c r="J42" s="225">
        <f t="shared" si="2"/>
        <v>2087395.73</v>
      </c>
      <c r="K42" s="225">
        <f t="shared" si="2"/>
        <v>1773307.8699999999</v>
      </c>
      <c r="L42" s="225">
        <f t="shared" si="2"/>
        <v>2701093.9400000004</v>
      </c>
      <c r="M42" s="225">
        <f t="shared" si="2"/>
        <v>2206842.1299999994</v>
      </c>
      <c r="N42" s="225">
        <f t="shared" si="2"/>
        <v>3278981.2099999995</v>
      </c>
      <c r="O42" s="221"/>
      <c r="P42" s="228"/>
    </row>
    <row r="43" spans="1:25" x14ac:dyDescent="0.25">
      <c r="P43" s="233"/>
      <c r="Q43" s="233"/>
    </row>
    <row r="44" spans="1:25" ht="10.5" customHeight="1" x14ac:dyDescent="0.35">
      <c r="A44" s="238"/>
      <c r="P44" s="233"/>
      <c r="Q44" s="233"/>
    </row>
    <row r="45" spans="1:25" ht="21" x14ac:dyDescent="0.35">
      <c r="A45" s="287" t="s">
        <v>206</v>
      </c>
      <c r="B45" s="226"/>
      <c r="C45" s="275">
        <f t="shared" ref="C45:N45" si="3">SUM(C10)</f>
        <v>2621851.67</v>
      </c>
      <c r="D45" s="275">
        <f t="shared" si="3"/>
        <v>1419002.97</v>
      </c>
      <c r="E45" s="275">
        <f t="shared" si="3"/>
        <v>1709236.0699999998</v>
      </c>
      <c r="F45" s="275">
        <f t="shared" si="3"/>
        <v>1960126.17</v>
      </c>
      <c r="G45" s="275">
        <f t="shared" si="3"/>
        <v>1948186.47</v>
      </c>
      <c r="H45" s="275">
        <f t="shared" si="3"/>
        <v>2001886.47</v>
      </c>
      <c r="I45" s="275">
        <f t="shared" si="3"/>
        <v>1998186.47</v>
      </c>
      <c r="J45" s="275">
        <f t="shared" si="3"/>
        <v>1998186.47</v>
      </c>
      <c r="K45" s="275">
        <f t="shared" si="3"/>
        <v>2236186.4699999997</v>
      </c>
      <c r="L45" s="275">
        <f t="shared" si="3"/>
        <v>2186186.4699999997</v>
      </c>
      <c r="M45" s="275">
        <f t="shared" si="3"/>
        <v>2058186.47</v>
      </c>
      <c r="N45" s="275">
        <f t="shared" si="3"/>
        <v>3466711.47</v>
      </c>
      <c r="O45" s="275"/>
      <c r="P45" s="231"/>
      <c r="Q45" s="275"/>
      <c r="R45" s="231"/>
      <c r="S45" s="275"/>
      <c r="T45" s="231"/>
      <c r="U45" s="275"/>
      <c r="V45" s="231"/>
      <c r="W45" s="275"/>
      <c r="X45" s="231"/>
      <c r="Y45" s="275"/>
    </row>
    <row r="46" spans="1:25" s="226" customFormat="1" ht="21" x14ac:dyDescent="0.35">
      <c r="A46" s="288" t="s">
        <v>231</v>
      </c>
      <c r="B46" s="247"/>
      <c r="C46" s="281">
        <f t="shared" ref="C46:N46" si="4">SUM(C42)</f>
        <v>2473139.8200000003</v>
      </c>
      <c r="D46" s="281">
        <f t="shared" si="4"/>
        <v>2267369.7000000002</v>
      </c>
      <c r="E46" s="281">
        <f t="shared" si="4"/>
        <v>2641156.27</v>
      </c>
      <c r="F46" s="281">
        <f t="shared" si="4"/>
        <v>1984572.57</v>
      </c>
      <c r="G46" s="281">
        <f t="shared" si="4"/>
        <v>2413506.0099999998</v>
      </c>
      <c r="H46" s="281">
        <f t="shared" si="4"/>
        <v>2178609.13</v>
      </c>
      <c r="I46" s="281">
        <f t="shared" si="4"/>
        <v>2488599.0699999998</v>
      </c>
      <c r="J46" s="281">
        <f t="shared" si="4"/>
        <v>2087395.73</v>
      </c>
      <c r="K46" s="281">
        <f t="shared" si="4"/>
        <v>1773307.8699999999</v>
      </c>
      <c r="L46" s="281">
        <f t="shared" si="4"/>
        <v>2701093.9400000004</v>
      </c>
      <c r="M46" s="281">
        <f t="shared" si="4"/>
        <v>2206842.1299999994</v>
      </c>
      <c r="N46" s="281">
        <f t="shared" si="4"/>
        <v>3278981.2099999995</v>
      </c>
      <c r="O46" s="281"/>
      <c r="P46" s="231"/>
      <c r="Q46" s="281"/>
      <c r="R46" s="231"/>
      <c r="S46" s="281"/>
      <c r="T46" s="231"/>
      <c r="U46" s="281"/>
      <c r="V46" s="231"/>
      <c r="W46" s="281"/>
      <c r="X46" s="231"/>
      <c r="Y46" s="281"/>
    </row>
    <row r="47" spans="1:25" s="216" customFormat="1" ht="15.75" x14ac:dyDescent="0.3">
      <c r="A47" s="250" t="s">
        <v>32</v>
      </c>
      <c r="B47" s="224"/>
      <c r="C47" s="249">
        <f t="shared" ref="C47:N47" si="5">SUM(C45-C46)</f>
        <v>148711.84999999963</v>
      </c>
      <c r="D47" s="249">
        <f t="shared" si="5"/>
        <v>-848366.73000000021</v>
      </c>
      <c r="E47" s="249">
        <f t="shared" si="5"/>
        <v>-931920.20000000019</v>
      </c>
      <c r="F47" s="249">
        <f t="shared" si="5"/>
        <v>-24446.40000000014</v>
      </c>
      <c r="G47" s="249">
        <f t="shared" si="5"/>
        <v>-465319.5399999998</v>
      </c>
      <c r="H47" s="249">
        <f t="shared" si="5"/>
        <v>-176722.65999999992</v>
      </c>
      <c r="I47" s="249">
        <f t="shared" si="5"/>
        <v>-490412.59999999986</v>
      </c>
      <c r="J47" s="249">
        <f t="shared" si="5"/>
        <v>-89209.260000000009</v>
      </c>
      <c r="K47" s="249">
        <f t="shared" si="5"/>
        <v>462878.59999999986</v>
      </c>
      <c r="L47" s="249">
        <f t="shared" si="5"/>
        <v>-514907.47000000067</v>
      </c>
      <c r="M47" s="249">
        <f t="shared" si="5"/>
        <v>-148655.65999999945</v>
      </c>
      <c r="N47" s="249">
        <f t="shared" si="5"/>
        <v>187730.26000000071</v>
      </c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</row>
    <row r="48" spans="1:25" x14ac:dyDescent="0.25">
      <c r="O48" s="229"/>
      <c r="P48" s="229"/>
      <c r="Q48" s="229"/>
    </row>
    <row r="49" spans="1:16" x14ac:dyDescent="0.25">
      <c r="O49" s="229"/>
      <c r="P49" s="229"/>
    </row>
    <row r="55" spans="1:16" s="227" customFormat="1" x14ac:dyDescent="0.25">
      <c r="A55" s="311"/>
      <c r="B55" s="311"/>
      <c r="C55" s="311"/>
      <c r="D55" s="311"/>
      <c r="E55" s="311"/>
      <c r="F55" s="311"/>
      <c r="G55" s="311"/>
      <c r="H55" s="311"/>
      <c r="I55" s="311"/>
      <c r="J55" s="311"/>
      <c r="K55" s="311"/>
      <c r="L55" s="311"/>
      <c r="M55" s="311"/>
      <c r="N55" s="311"/>
      <c r="O55" s="311"/>
      <c r="P55" s="210"/>
    </row>
    <row r="56" spans="1:16" s="227" customFormat="1" x14ac:dyDescent="0.25">
      <c r="A56" s="311"/>
      <c r="B56" s="311"/>
      <c r="C56" s="311"/>
      <c r="D56" s="311"/>
      <c r="E56" s="311"/>
      <c r="F56" s="311"/>
      <c r="G56" s="311"/>
      <c r="H56" s="311"/>
      <c r="I56" s="311"/>
      <c r="J56" s="311"/>
      <c r="K56" s="311"/>
      <c r="L56" s="311"/>
      <c r="M56" s="311"/>
      <c r="N56" s="311"/>
      <c r="O56" s="311"/>
      <c r="P56" s="210"/>
    </row>
    <row r="57" spans="1:16" s="227" customFormat="1" x14ac:dyDescent="0.25">
      <c r="A57" s="311"/>
      <c r="B57" s="311"/>
      <c r="C57" s="311"/>
      <c r="D57" s="311"/>
      <c r="E57" s="311"/>
      <c r="F57" s="311"/>
      <c r="G57" s="311"/>
      <c r="H57" s="311"/>
      <c r="I57" s="311"/>
      <c r="J57" s="311"/>
      <c r="K57" s="311"/>
      <c r="L57" s="311"/>
      <c r="M57" s="311"/>
      <c r="N57" s="311"/>
      <c r="O57" s="311"/>
      <c r="P57" s="210"/>
    </row>
  </sheetData>
  <mergeCells count="10">
    <mergeCell ref="A1:O1"/>
    <mergeCell ref="A2:O2"/>
    <mergeCell ref="A3:O3"/>
    <mergeCell ref="A4:O4"/>
    <mergeCell ref="E14:J14"/>
    <mergeCell ref="A55:O55"/>
    <mergeCell ref="A56:O56"/>
    <mergeCell ref="A57:O57"/>
    <mergeCell ref="C5:N5"/>
    <mergeCell ref="C13:N13"/>
  </mergeCells>
  <conditionalFormatting sqref="A42">
    <cfRule type="dataBar" priority="194">
      <dataBar>
        <cfvo type="min"/>
        <cfvo type="max"/>
        <color theme="0"/>
      </dataBar>
    </cfRule>
    <cfRule type="dataBar" priority="195">
      <dataBar>
        <cfvo type="min"/>
        <cfvo type="max"/>
        <color theme="0"/>
      </dataBar>
    </cfRule>
  </conditionalFormatting>
  <conditionalFormatting sqref="A42">
    <cfRule type="dataBar" priority="191">
      <dataBar>
        <cfvo type="min"/>
        <cfvo type="max"/>
        <color rgb="FFFF555A"/>
      </dataBar>
    </cfRule>
    <cfRule type="iconSet" priority="192">
      <iconSet iconSet="4TrafficLights">
        <cfvo type="percent" val="0"/>
        <cfvo type="percent" val="25"/>
        <cfvo type="percent" val="50"/>
        <cfvo type="percent" val="75"/>
      </iconSet>
    </cfRule>
    <cfRule type="dataBar" priority="193">
      <dataBar>
        <cfvo type="min"/>
        <cfvo type="max"/>
        <color rgb="FF638EC6"/>
      </dataBar>
    </cfRule>
  </conditionalFormatting>
  <conditionalFormatting sqref="A10">
    <cfRule type="dataBar" priority="119">
      <dataBar>
        <cfvo type="min"/>
        <cfvo type="max"/>
        <color theme="0"/>
      </dataBar>
    </cfRule>
    <cfRule type="dataBar" priority="120">
      <dataBar>
        <cfvo type="min"/>
        <cfvo type="max"/>
        <color theme="0"/>
      </dataBar>
    </cfRule>
  </conditionalFormatting>
  <conditionalFormatting sqref="A10">
    <cfRule type="dataBar" priority="116">
      <dataBar>
        <cfvo type="min"/>
        <cfvo type="max"/>
        <color rgb="FFFF555A"/>
      </dataBar>
    </cfRule>
    <cfRule type="iconSet" priority="117">
      <iconSet iconSet="4TrafficLights">
        <cfvo type="percent" val="0"/>
        <cfvo type="percent" val="25"/>
        <cfvo type="percent" val="50"/>
        <cfvo type="percent" val="75"/>
      </iconSet>
    </cfRule>
    <cfRule type="dataBar" priority="118">
      <dataBar>
        <cfvo type="min"/>
        <cfvo type="max"/>
        <color rgb="FF638EC6"/>
      </dataBar>
    </cfRule>
  </conditionalFormatting>
  <conditionalFormatting sqref="A15">
    <cfRule type="dataBar" priority="201">
      <dataBar>
        <cfvo type="min"/>
        <cfvo type="max"/>
        <color theme="0"/>
      </dataBar>
    </cfRule>
    <cfRule type="dataBar" priority="202">
      <dataBar>
        <cfvo type="min"/>
        <cfvo type="max"/>
        <color theme="0"/>
      </dataBar>
    </cfRule>
  </conditionalFormatting>
  <conditionalFormatting sqref="A15">
    <cfRule type="dataBar" priority="203">
      <dataBar>
        <cfvo type="min"/>
        <cfvo type="max"/>
        <color rgb="FFFF555A"/>
      </dataBar>
    </cfRule>
    <cfRule type="iconSet" priority="204">
      <iconSet iconSet="4TrafficLights">
        <cfvo type="percent" val="0"/>
        <cfvo type="percent" val="25"/>
        <cfvo type="percent" val="50"/>
        <cfvo type="percent" val="75"/>
      </iconSet>
    </cfRule>
    <cfRule type="dataBar" priority="205">
      <dataBar>
        <cfvo type="min"/>
        <cfvo type="max"/>
        <color rgb="FF638EC6"/>
      </dataBar>
    </cfRule>
  </conditionalFormatting>
  <conditionalFormatting sqref="A41">
    <cfRule type="dataBar" priority="79">
      <dataBar>
        <cfvo type="min"/>
        <cfvo type="max"/>
        <color theme="0"/>
      </dataBar>
    </cfRule>
    <cfRule type="dataBar" priority="80">
      <dataBar>
        <cfvo type="min"/>
        <cfvo type="max"/>
        <color theme="0"/>
      </dataBar>
    </cfRule>
  </conditionalFormatting>
  <conditionalFormatting sqref="A41">
    <cfRule type="dataBar" priority="76">
      <dataBar>
        <cfvo type="min"/>
        <cfvo type="max"/>
        <color rgb="FFFF555A"/>
      </dataBar>
    </cfRule>
    <cfRule type="iconSet" priority="77">
      <iconSet iconSet="4TrafficLights">
        <cfvo type="percent" val="0"/>
        <cfvo type="percent" val="25"/>
        <cfvo type="percent" val="50"/>
        <cfvo type="percent" val="75"/>
      </iconSet>
    </cfRule>
    <cfRule type="dataBar" priority="78">
      <dataBar>
        <cfvo type="min"/>
        <cfvo type="max"/>
        <color rgb="FF638EC6"/>
      </dataBar>
    </cfRule>
  </conditionalFormatting>
  <conditionalFormatting sqref="A26:A27">
    <cfRule type="dataBar" priority="46">
      <dataBar>
        <cfvo type="min"/>
        <cfvo type="max"/>
        <color theme="0"/>
      </dataBar>
    </cfRule>
    <cfRule type="dataBar" priority="47">
      <dataBar>
        <cfvo type="min"/>
        <cfvo type="max"/>
        <color theme="0"/>
      </dataBar>
    </cfRule>
  </conditionalFormatting>
  <conditionalFormatting sqref="A26:A27">
    <cfRule type="dataBar" priority="48">
      <dataBar>
        <cfvo type="min"/>
        <cfvo type="max"/>
        <color rgb="FFFF555A"/>
      </dataBar>
    </cfRule>
    <cfRule type="iconSet" priority="49">
      <iconSet iconSet="4TrafficLights">
        <cfvo type="percent" val="0"/>
        <cfvo type="percent" val="25"/>
        <cfvo type="percent" val="50"/>
        <cfvo type="percent" val="75"/>
      </iconSet>
    </cfRule>
    <cfRule type="dataBar" priority="50">
      <dataBar>
        <cfvo type="min"/>
        <cfvo type="max"/>
        <color rgb="FF638EC6"/>
      </dataBar>
    </cfRule>
  </conditionalFormatting>
  <conditionalFormatting sqref="A28">
    <cfRule type="dataBar" priority="41">
      <dataBar>
        <cfvo type="min"/>
        <cfvo type="max"/>
        <color theme="0"/>
      </dataBar>
    </cfRule>
    <cfRule type="dataBar" priority="42">
      <dataBar>
        <cfvo type="min"/>
        <cfvo type="max"/>
        <color theme="0"/>
      </dataBar>
    </cfRule>
  </conditionalFormatting>
  <conditionalFormatting sqref="A28">
    <cfRule type="dataBar" priority="43">
      <dataBar>
        <cfvo type="min"/>
        <cfvo type="max"/>
        <color rgb="FFFF555A"/>
      </dataBar>
    </cfRule>
    <cfRule type="iconSet" priority="44">
      <iconSet iconSet="4TrafficLights">
        <cfvo type="percent" val="0"/>
        <cfvo type="percent" val="25"/>
        <cfvo type="percent" val="50"/>
        <cfvo type="percent" val="75"/>
      </iconSet>
    </cfRule>
    <cfRule type="dataBar" priority="45">
      <dataBar>
        <cfvo type="min"/>
        <cfvo type="max"/>
        <color rgb="FF638EC6"/>
      </dataBar>
    </cfRule>
  </conditionalFormatting>
  <conditionalFormatting sqref="A29">
    <cfRule type="dataBar" priority="39">
      <dataBar>
        <cfvo type="min"/>
        <cfvo type="max"/>
        <color theme="0"/>
      </dataBar>
    </cfRule>
    <cfRule type="dataBar" priority="40">
      <dataBar>
        <cfvo type="min"/>
        <cfvo type="max"/>
        <color theme="0"/>
      </dataBar>
    </cfRule>
  </conditionalFormatting>
  <conditionalFormatting sqref="A29">
    <cfRule type="dataBar" priority="36">
      <dataBar>
        <cfvo type="min"/>
        <cfvo type="max"/>
        <color rgb="FFFF555A"/>
      </dataBar>
    </cfRule>
    <cfRule type="iconSet" priority="37">
      <iconSet iconSet="4TrafficLights">
        <cfvo type="percent" val="0"/>
        <cfvo type="percent" val="25"/>
        <cfvo type="percent" val="50"/>
        <cfvo type="percent" val="75"/>
      </iconSet>
    </cfRule>
    <cfRule type="dataBar" priority="38">
      <dataBar>
        <cfvo type="min"/>
        <cfvo type="max"/>
        <color rgb="FF638EC6"/>
      </dataBar>
    </cfRule>
  </conditionalFormatting>
  <conditionalFormatting sqref="A36">
    <cfRule type="dataBar" priority="29">
      <dataBar>
        <cfvo type="min"/>
        <cfvo type="max"/>
        <color theme="0"/>
      </dataBar>
    </cfRule>
    <cfRule type="dataBar" priority="30">
      <dataBar>
        <cfvo type="min"/>
        <cfvo type="max"/>
        <color theme="0"/>
      </dataBar>
    </cfRule>
  </conditionalFormatting>
  <conditionalFormatting sqref="A36">
    <cfRule type="dataBar" priority="26">
      <dataBar>
        <cfvo type="min"/>
        <cfvo type="max"/>
        <color rgb="FFFF555A"/>
      </dataBar>
    </cfRule>
    <cfRule type="iconSet" priority="27">
      <iconSet iconSet="4TrafficLights">
        <cfvo type="percent" val="0"/>
        <cfvo type="percent" val="25"/>
        <cfvo type="percent" val="50"/>
        <cfvo type="percent" val="75"/>
      </iconSet>
    </cfRule>
    <cfRule type="dataBar" priority="28">
      <dataBar>
        <cfvo type="min"/>
        <cfvo type="max"/>
        <color rgb="FF638EC6"/>
      </dataBar>
    </cfRule>
  </conditionalFormatting>
  <conditionalFormatting sqref="A36">
    <cfRule type="dataBar" priority="34">
      <dataBar>
        <cfvo type="min"/>
        <cfvo type="max"/>
        <color theme="0"/>
      </dataBar>
    </cfRule>
    <cfRule type="dataBar" priority="35">
      <dataBar>
        <cfvo type="min"/>
        <cfvo type="max"/>
        <color theme="0"/>
      </dataBar>
    </cfRule>
  </conditionalFormatting>
  <conditionalFormatting sqref="A36">
    <cfRule type="dataBar" priority="31">
      <dataBar>
        <cfvo type="min"/>
        <cfvo type="max"/>
        <color rgb="FFFF555A"/>
      </dataBar>
    </cfRule>
    <cfRule type="iconSet" priority="32">
      <iconSet iconSet="4TrafficLights">
        <cfvo type="percent" val="0"/>
        <cfvo type="percent" val="25"/>
        <cfvo type="percent" val="50"/>
        <cfvo type="percent" val="75"/>
      </iconSet>
    </cfRule>
    <cfRule type="dataBar" priority="33">
      <dataBar>
        <cfvo type="min"/>
        <cfvo type="max"/>
        <color rgb="FF638EC6"/>
      </dataBar>
    </cfRule>
  </conditionalFormatting>
  <conditionalFormatting sqref="A16:A25">
    <cfRule type="dataBar" priority="51">
      <dataBar>
        <cfvo type="min"/>
        <cfvo type="max"/>
        <color theme="0"/>
      </dataBar>
    </cfRule>
    <cfRule type="dataBar" priority="52">
      <dataBar>
        <cfvo type="min"/>
        <cfvo type="max"/>
        <color theme="0"/>
      </dataBar>
    </cfRule>
  </conditionalFormatting>
  <conditionalFormatting sqref="A16:A25">
    <cfRule type="dataBar" priority="53">
      <dataBar>
        <cfvo type="min"/>
        <cfvo type="max"/>
        <color rgb="FFFF555A"/>
      </dataBar>
    </cfRule>
    <cfRule type="iconSet" priority="54">
      <iconSet iconSet="4TrafficLights">
        <cfvo type="percent" val="0"/>
        <cfvo type="percent" val="25"/>
        <cfvo type="percent" val="50"/>
        <cfvo type="percent" val="75"/>
      </iconSet>
    </cfRule>
    <cfRule type="dataBar" priority="55">
      <dataBar>
        <cfvo type="min"/>
        <cfvo type="max"/>
        <color rgb="FF638EC6"/>
      </dataBar>
    </cfRule>
  </conditionalFormatting>
  <conditionalFormatting sqref="A16:A25">
    <cfRule type="dataBar" priority="56">
      <dataBar>
        <cfvo type="min"/>
        <cfvo type="max"/>
        <color theme="0"/>
      </dataBar>
    </cfRule>
    <cfRule type="dataBar" priority="57">
      <dataBar>
        <cfvo type="min"/>
        <cfvo type="max"/>
        <color theme="0"/>
      </dataBar>
    </cfRule>
  </conditionalFormatting>
  <conditionalFormatting sqref="A16:A25">
    <cfRule type="dataBar" priority="58">
      <dataBar>
        <cfvo type="min"/>
        <cfvo type="max"/>
        <color rgb="FFFF555A"/>
      </dataBar>
    </cfRule>
    <cfRule type="iconSet" priority="59">
      <iconSet iconSet="4TrafficLights">
        <cfvo type="percent" val="0"/>
        <cfvo type="percent" val="25"/>
        <cfvo type="percent" val="50"/>
        <cfvo type="percent" val="75"/>
      </iconSet>
    </cfRule>
    <cfRule type="dataBar" priority="60">
      <dataBar>
        <cfvo type="min"/>
        <cfvo type="max"/>
        <color rgb="FF638EC6"/>
      </dataBar>
    </cfRule>
  </conditionalFormatting>
  <conditionalFormatting sqref="A32:A36">
    <cfRule type="dataBar" priority="61">
      <dataBar>
        <cfvo type="min"/>
        <cfvo type="max"/>
        <color theme="0"/>
      </dataBar>
    </cfRule>
    <cfRule type="dataBar" priority="62">
      <dataBar>
        <cfvo type="min"/>
        <cfvo type="max"/>
        <color theme="0"/>
      </dataBar>
    </cfRule>
  </conditionalFormatting>
  <conditionalFormatting sqref="A32:A36">
    <cfRule type="dataBar" priority="63">
      <dataBar>
        <cfvo type="min"/>
        <cfvo type="max"/>
        <color rgb="FFFF555A"/>
      </dataBar>
    </cfRule>
    <cfRule type="iconSet" priority="64">
      <iconSet iconSet="4TrafficLights">
        <cfvo type="percent" val="0"/>
        <cfvo type="percent" val="25"/>
        <cfvo type="percent" val="50"/>
        <cfvo type="percent" val="75"/>
      </iconSet>
    </cfRule>
    <cfRule type="dataBar" priority="65">
      <dataBar>
        <cfvo type="min"/>
        <cfvo type="max"/>
        <color rgb="FF638EC6"/>
      </dataBar>
    </cfRule>
  </conditionalFormatting>
  <conditionalFormatting sqref="A30:A31">
    <cfRule type="dataBar" priority="19">
      <dataBar>
        <cfvo type="min"/>
        <cfvo type="max"/>
        <color theme="0"/>
      </dataBar>
    </cfRule>
    <cfRule type="dataBar" priority="20">
      <dataBar>
        <cfvo type="min"/>
        <cfvo type="max"/>
        <color theme="0"/>
      </dataBar>
    </cfRule>
  </conditionalFormatting>
  <conditionalFormatting sqref="A30:A31">
    <cfRule type="dataBar" priority="16">
      <dataBar>
        <cfvo type="min"/>
        <cfvo type="max"/>
        <color rgb="FFFF555A"/>
      </dataBar>
    </cfRule>
    <cfRule type="iconSet" priority="17">
      <iconSet iconSet="4TrafficLights">
        <cfvo type="percent" val="0"/>
        <cfvo type="percent" val="25"/>
        <cfvo type="percent" val="50"/>
        <cfvo type="percent" val="75"/>
      </iconSet>
    </cfRule>
    <cfRule type="dataBar" priority="18">
      <dataBar>
        <cfvo type="min"/>
        <cfvo type="max"/>
        <color rgb="FF638EC6"/>
      </dataBar>
    </cfRule>
  </conditionalFormatting>
  <conditionalFormatting sqref="A30:A31">
    <cfRule type="dataBar" priority="24">
      <dataBar>
        <cfvo type="min"/>
        <cfvo type="max"/>
        <color theme="0"/>
      </dataBar>
    </cfRule>
    <cfRule type="dataBar" priority="25">
      <dataBar>
        <cfvo type="min"/>
        <cfvo type="max"/>
        <color theme="0"/>
      </dataBar>
    </cfRule>
  </conditionalFormatting>
  <conditionalFormatting sqref="A30:A31">
    <cfRule type="dataBar" priority="21">
      <dataBar>
        <cfvo type="min"/>
        <cfvo type="max"/>
        <color rgb="FFFF555A"/>
      </dataBar>
    </cfRule>
    <cfRule type="iconSet" priority="22">
      <iconSet iconSet="4TrafficLights">
        <cfvo type="percent" val="0"/>
        <cfvo type="percent" val="25"/>
        <cfvo type="percent" val="50"/>
        <cfvo type="percent" val="75"/>
      </iconSet>
    </cfRule>
    <cfRule type="dataBar" priority="23">
      <dataBar>
        <cfvo type="min"/>
        <cfvo type="max"/>
        <color rgb="FF638EC6"/>
      </dataBar>
    </cfRule>
  </conditionalFormatting>
  <conditionalFormatting sqref="A37:A39">
    <cfRule type="dataBar" priority="14">
      <dataBar>
        <cfvo type="min"/>
        <cfvo type="max"/>
        <color theme="0"/>
      </dataBar>
    </cfRule>
    <cfRule type="dataBar" priority="15">
      <dataBar>
        <cfvo type="min"/>
        <cfvo type="max"/>
        <color theme="0"/>
      </dataBar>
    </cfRule>
  </conditionalFormatting>
  <conditionalFormatting sqref="A37:A39">
    <cfRule type="dataBar" priority="11">
      <dataBar>
        <cfvo type="min"/>
        <cfvo type="max"/>
        <color rgb="FFFF555A"/>
      </dataBar>
    </cfRule>
    <cfRule type="iconSet" priority="12">
      <iconSet iconSet="4TrafficLights">
        <cfvo type="percent" val="0"/>
        <cfvo type="percent" val="25"/>
        <cfvo type="percent" val="50"/>
        <cfvo type="percent" val="75"/>
      </iconSet>
    </cfRule>
    <cfRule type="dataBar" priority="13">
      <dataBar>
        <cfvo type="min"/>
        <cfvo type="max"/>
        <color rgb="FF638EC6"/>
      </dataBar>
    </cfRule>
  </conditionalFormatting>
  <conditionalFormatting sqref="A40">
    <cfRule type="dataBar" priority="9">
      <dataBar>
        <cfvo type="min"/>
        <cfvo type="max"/>
        <color theme="0"/>
      </dataBar>
    </cfRule>
    <cfRule type="dataBar" priority="10">
      <dataBar>
        <cfvo type="min"/>
        <cfvo type="max"/>
        <color theme="0"/>
      </dataBar>
    </cfRule>
  </conditionalFormatting>
  <conditionalFormatting sqref="A40">
    <cfRule type="dataBar" priority="6">
      <dataBar>
        <cfvo type="min"/>
        <cfvo type="max"/>
        <color rgb="FFFF555A"/>
      </dataBar>
    </cfRule>
    <cfRule type="iconSet" priority="7">
      <iconSet iconSet="4TrafficLights">
        <cfvo type="percent" val="0"/>
        <cfvo type="percent" val="25"/>
        <cfvo type="percent" val="50"/>
        <cfvo type="percent" val="75"/>
      </iconSet>
    </cfRule>
    <cfRule type="dataBar" priority="8">
      <dataBar>
        <cfvo type="min"/>
        <cfvo type="max"/>
        <color rgb="FF638EC6"/>
      </dataBar>
    </cfRule>
  </conditionalFormatting>
  <conditionalFormatting sqref="A47">
    <cfRule type="dataBar" priority="4">
      <dataBar>
        <cfvo type="min"/>
        <cfvo type="max"/>
        <color theme="0"/>
      </dataBar>
    </cfRule>
    <cfRule type="dataBar" priority="5">
      <dataBar>
        <cfvo type="min"/>
        <cfvo type="max"/>
        <color theme="0"/>
      </dataBar>
    </cfRule>
  </conditionalFormatting>
  <conditionalFormatting sqref="A47">
    <cfRule type="dataBar" priority="1">
      <dataBar>
        <cfvo type="min"/>
        <cfvo type="max"/>
        <color rgb="FFFF555A"/>
      </dataBar>
    </cfRule>
    <cfRule type="iconSet" priority="2">
      <iconSet iconSet="4TrafficLights">
        <cfvo type="percent" val="0"/>
        <cfvo type="percent" val="25"/>
        <cfvo type="percent" val="50"/>
        <cfvo type="percent" val="75"/>
      </iconSet>
    </cfRule>
    <cfRule type="dataBar" priority="3">
      <dataBar>
        <cfvo type="min"/>
        <cfvo type="max"/>
        <color rgb="FF638EC6"/>
      </dataBar>
    </cfRule>
  </conditionalFormatting>
  <pageMargins left="0" right="0" top="0" bottom="0" header="0" footer="0"/>
  <pageSetup paperSize="9" scale="58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00"/>
  </sheetPr>
  <dimension ref="A1:AC42"/>
  <sheetViews>
    <sheetView zoomScale="83" zoomScaleNormal="83" workbookViewId="0">
      <selection activeCell="A4" sqref="A4:AA4"/>
    </sheetView>
  </sheetViews>
  <sheetFormatPr defaultRowHeight="15" x14ac:dyDescent="0.25"/>
  <cols>
    <col min="1" max="1" width="11.140625" style="226" customWidth="1"/>
    <col min="2" max="2" width="0.7109375" style="226" customWidth="1"/>
    <col min="3" max="3" width="17" style="226" customWidth="1"/>
    <col min="4" max="4" width="2.85546875" style="226" customWidth="1"/>
    <col min="5" max="5" width="14.7109375" style="226" bestFit="1" customWidth="1"/>
    <col min="6" max="6" width="2" style="226" customWidth="1"/>
    <col min="7" max="7" width="14.42578125" style="226" bestFit="1" customWidth="1"/>
    <col min="8" max="8" width="2.28515625" style="226" customWidth="1"/>
    <col min="9" max="9" width="14.42578125" style="226" bestFit="1" customWidth="1"/>
    <col min="10" max="10" width="2.42578125" style="226" customWidth="1"/>
    <col min="11" max="11" width="16.42578125" style="226" customWidth="1"/>
    <col min="12" max="12" width="2.85546875" style="226" customWidth="1"/>
    <col min="13" max="13" width="14.42578125" style="226" bestFit="1" customWidth="1"/>
    <col min="14" max="14" width="1.85546875" style="226" customWidth="1"/>
    <col min="15" max="15" width="14.42578125" style="226" bestFit="1" customWidth="1"/>
    <col min="16" max="16" width="2.5703125" style="226" customWidth="1"/>
    <col min="17" max="17" width="14.42578125" style="226" bestFit="1" customWidth="1"/>
    <col min="18" max="18" width="1.5703125" style="226" customWidth="1"/>
    <col min="19" max="19" width="14.42578125" style="226" bestFit="1" customWidth="1"/>
    <col min="20" max="20" width="2.5703125" style="226" customWidth="1"/>
    <col min="21" max="21" width="14.42578125" style="226" bestFit="1" customWidth="1"/>
    <col min="22" max="22" width="1.7109375" style="226" customWidth="1"/>
    <col min="23" max="23" width="14.7109375" style="226" bestFit="1" customWidth="1"/>
    <col min="24" max="24" width="3.85546875" style="226" customWidth="1"/>
    <col min="25" max="25" width="16.28515625" style="226" bestFit="1" customWidth="1"/>
    <col min="26" max="26" width="1.7109375" style="226" customWidth="1"/>
    <col min="27" max="27" width="17.7109375" style="226" customWidth="1"/>
    <col min="28" max="28" width="14.42578125" style="226" bestFit="1" customWidth="1"/>
    <col min="29" max="16384" width="9.140625" style="226"/>
  </cols>
  <sheetData>
    <row r="1" spans="1:29" ht="30" x14ac:dyDescent="0.4">
      <c r="A1" s="322" t="s">
        <v>283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257"/>
    </row>
    <row r="2" spans="1:29" s="264" customFormat="1" ht="15" customHeight="1" x14ac:dyDescent="0.2">
      <c r="A2" s="323" t="s">
        <v>289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233"/>
    </row>
    <row r="3" spans="1:29" s="264" customFormat="1" ht="15" customHeight="1" x14ac:dyDescent="0.2">
      <c r="A3" s="324" t="s">
        <v>282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258"/>
    </row>
    <row r="4" spans="1:29" s="264" customFormat="1" ht="15" customHeight="1" x14ac:dyDescent="0.2">
      <c r="A4" s="325" t="s">
        <v>290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258"/>
    </row>
    <row r="5" spans="1:29" ht="31.5" customHeight="1" x14ac:dyDescent="0.5">
      <c r="A5" s="251"/>
      <c r="B5" s="251"/>
      <c r="C5" s="321" t="s">
        <v>268</v>
      </c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</row>
    <row r="6" spans="1:29" s="244" customFormat="1" ht="33" customHeight="1" x14ac:dyDescent="0.4">
      <c r="A6" s="265"/>
      <c r="C6" s="252">
        <v>43466</v>
      </c>
      <c r="D6" s="245"/>
      <c r="E6" s="252">
        <v>43497</v>
      </c>
      <c r="F6" s="245"/>
      <c r="G6" s="252">
        <v>43525</v>
      </c>
      <c r="H6" s="245"/>
      <c r="I6" s="252">
        <v>43556</v>
      </c>
      <c r="K6" s="252">
        <v>43586</v>
      </c>
      <c r="M6" s="252">
        <v>43617</v>
      </c>
      <c r="O6" s="252">
        <v>43647</v>
      </c>
      <c r="Q6" s="252">
        <v>43678</v>
      </c>
      <c r="S6" s="252">
        <v>43709</v>
      </c>
      <c r="U6" s="252">
        <v>43739</v>
      </c>
      <c r="W6" s="252">
        <v>43770</v>
      </c>
      <c r="Y6" s="252">
        <v>43800</v>
      </c>
      <c r="AA6" s="216" t="s">
        <v>267</v>
      </c>
      <c r="AB6" s="245" t="s">
        <v>260</v>
      </c>
      <c r="AC6" s="245"/>
    </row>
    <row r="7" spans="1:29" ht="27.75" customHeight="1" x14ac:dyDescent="0.3">
      <c r="A7" s="272" t="s">
        <v>206</v>
      </c>
      <c r="C7" s="237">
        <v>978186.47</v>
      </c>
      <c r="D7" s="237"/>
      <c r="E7" s="237">
        <v>943186.47</v>
      </c>
      <c r="F7" s="237"/>
      <c r="G7" s="237">
        <v>943186.47</v>
      </c>
      <c r="H7" s="237"/>
      <c r="I7" s="237">
        <v>943186.47</v>
      </c>
      <c r="J7" s="237"/>
      <c r="K7" s="237">
        <v>1305026.47</v>
      </c>
      <c r="L7" s="237"/>
      <c r="M7" s="237">
        <v>943186.47</v>
      </c>
      <c r="N7" s="237"/>
      <c r="O7" s="237">
        <v>626346.47</v>
      </c>
      <c r="P7" s="237"/>
      <c r="Q7" s="237">
        <v>940510.37</v>
      </c>
      <c r="R7" s="237"/>
      <c r="S7" s="237">
        <v>943186.47</v>
      </c>
      <c r="T7" s="237"/>
      <c r="U7" s="237">
        <v>943186.47</v>
      </c>
      <c r="V7" s="237"/>
      <c r="W7" s="237">
        <v>581346.47</v>
      </c>
      <c r="X7" s="237"/>
      <c r="Y7" s="237">
        <v>1666866.47</v>
      </c>
      <c r="Z7" s="237"/>
      <c r="AA7" s="237">
        <f>SUM(C7+E7+G7+I7+K7+M7+O7+Q7+S7+U7+W7+Y7)</f>
        <v>11757401.540000001</v>
      </c>
      <c r="AB7" s="237">
        <f>SUM(AA7/12)</f>
        <v>979783.46166666679</v>
      </c>
      <c r="AC7" s="233"/>
    </row>
    <row r="8" spans="1:29" s="216" customFormat="1" ht="22.5" x14ac:dyDescent="0.45">
      <c r="A8" s="267" t="s">
        <v>32</v>
      </c>
      <c r="B8" s="224"/>
      <c r="C8" s="231">
        <f>SUM(C7)</f>
        <v>978186.47</v>
      </c>
      <c r="D8" s="231"/>
      <c r="E8" s="231">
        <f>SUM(E7)</f>
        <v>943186.47</v>
      </c>
      <c r="F8" s="231"/>
      <c r="G8" s="231">
        <f>SUM(G7)</f>
        <v>943186.47</v>
      </c>
      <c r="H8" s="231"/>
      <c r="I8" s="231">
        <f>SUM(I7)</f>
        <v>943186.47</v>
      </c>
      <c r="J8" s="231"/>
      <c r="K8" s="231">
        <f>SUM(K7)</f>
        <v>1305026.47</v>
      </c>
      <c r="L8" s="231"/>
      <c r="M8" s="231">
        <f>SUM(M7)</f>
        <v>943186.47</v>
      </c>
      <c r="N8" s="231"/>
      <c r="O8" s="231">
        <f>SUM(O7)</f>
        <v>626346.47</v>
      </c>
      <c r="P8" s="231"/>
      <c r="Q8" s="231">
        <f>SUM(Q7)</f>
        <v>940510.37</v>
      </c>
      <c r="R8" s="231"/>
      <c r="S8" s="231">
        <f>SUM(S7)</f>
        <v>943186.47</v>
      </c>
      <c r="T8" s="231"/>
      <c r="U8" s="231">
        <f>SUM(U7)</f>
        <v>943186.47</v>
      </c>
      <c r="V8" s="231"/>
      <c r="W8" s="231">
        <f>SUM(W7)</f>
        <v>581346.47</v>
      </c>
      <c r="X8" s="231"/>
      <c r="Y8" s="231">
        <f>SUM(Y7)</f>
        <v>1666866.47</v>
      </c>
      <c r="Z8" s="231"/>
      <c r="AA8" s="263">
        <f>SUM(C8+E8+G8+I8+K8+M8+O8+Q8+S8+U8+W8+Y8)</f>
        <v>11757401.540000001</v>
      </c>
      <c r="AB8" s="263">
        <f>SUM(AA8/12)</f>
        <v>979783.46166666679</v>
      </c>
      <c r="AC8" s="224"/>
    </row>
    <row r="9" spans="1:29" s="240" customFormat="1" ht="12.75" x14ac:dyDescent="0.2">
      <c r="A9" s="254"/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B9" s="241"/>
      <c r="AC9" s="241"/>
    </row>
    <row r="10" spans="1:29" s="240" customFormat="1" ht="12" customHeight="1" x14ac:dyDescent="0.2">
      <c r="A10" s="254"/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B10" s="241"/>
      <c r="AC10" s="241"/>
    </row>
    <row r="11" spans="1:29" ht="31.5" customHeight="1" x14ac:dyDescent="0.5">
      <c r="A11" s="251"/>
      <c r="B11" s="251"/>
      <c r="C11" s="321" t="s">
        <v>258</v>
      </c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</row>
    <row r="12" spans="1:29" ht="6" customHeight="1" x14ac:dyDescent="0.45">
      <c r="A12" s="214"/>
      <c r="B12" s="214"/>
      <c r="C12" s="214"/>
      <c r="D12" s="214"/>
      <c r="E12" s="214"/>
      <c r="F12" s="214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</row>
    <row r="13" spans="1:29" s="216" customFormat="1" ht="16.5" x14ac:dyDescent="0.3">
      <c r="A13" s="268"/>
      <c r="C13" s="252">
        <v>43466</v>
      </c>
      <c r="D13" s="245"/>
      <c r="E13" s="252">
        <v>43497</v>
      </c>
      <c r="F13" s="245"/>
      <c r="G13" s="252">
        <v>43525</v>
      </c>
      <c r="H13" s="245"/>
      <c r="I13" s="252">
        <v>43556</v>
      </c>
      <c r="J13" s="244"/>
      <c r="K13" s="252">
        <v>43586</v>
      </c>
      <c r="L13" s="244"/>
      <c r="M13" s="252">
        <v>43617</v>
      </c>
      <c r="N13" s="244"/>
      <c r="O13" s="252">
        <v>43647</v>
      </c>
      <c r="P13" s="244"/>
      <c r="Q13" s="252">
        <v>43678</v>
      </c>
      <c r="R13" s="244"/>
      <c r="S13" s="252">
        <v>43709</v>
      </c>
      <c r="T13" s="244"/>
      <c r="U13" s="252">
        <v>43739</v>
      </c>
      <c r="V13" s="244"/>
      <c r="W13" s="252">
        <v>43770</v>
      </c>
      <c r="X13" s="244"/>
      <c r="Y13" s="252">
        <v>43800</v>
      </c>
      <c r="Z13" s="244"/>
      <c r="AA13" s="216" t="s">
        <v>267</v>
      </c>
      <c r="AB13" s="245" t="s">
        <v>260</v>
      </c>
    </row>
    <row r="14" spans="1:29" s="216" customFormat="1" ht="15.75" x14ac:dyDescent="0.3">
      <c r="A14" s="218" t="s">
        <v>266</v>
      </c>
      <c r="B14" s="219"/>
      <c r="C14" s="291">
        <v>485063.21</v>
      </c>
      <c r="D14" s="210"/>
      <c r="E14" s="220">
        <v>479538.43</v>
      </c>
      <c r="F14" s="226"/>
      <c r="G14" s="220">
        <v>489089.46</v>
      </c>
      <c r="H14" s="210"/>
      <c r="I14" s="220">
        <v>501945.06</v>
      </c>
      <c r="J14" s="226"/>
      <c r="K14" s="220">
        <v>497715.29</v>
      </c>
      <c r="L14" s="210"/>
      <c r="M14" s="220">
        <v>491383.6</v>
      </c>
      <c r="N14" s="210"/>
      <c r="O14" s="220">
        <v>486011.68</v>
      </c>
      <c r="P14" s="210"/>
      <c r="Q14" s="220">
        <v>502387.45</v>
      </c>
      <c r="R14" s="210"/>
      <c r="S14" s="220">
        <v>475618.94</v>
      </c>
      <c r="T14" s="210"/>
      <c r="U14" s="220">
        <v>490582.05</v>
      </c>
      <c r="V14" s="210"/>
      <c r="W14" s="220">
        <v>505157.1</v>
      </c>
      <c r="X14" s="210"/>
      <c r="Y14" s="220">
        <v>478646.43</v>
      </c>
      <c r="Z14" s="210"/>
      <c r="AA14" s="222">
        <f t="shared" ref="AA14" si="0">SUM(C14+E14+G14+I14+K14+M14+O14+Q14+S14+U14+W14+Y14)</f>
        <v>5883138.7000000002</v>
      </c>
      <c r="AB14" s="222">
        <f t="shared" ref="AB14" si="1">SUM(AA14/12)</f>
        <v>490261.55833333335</v>
      </c>
      <c r="AC14" s="224"/>
    </row>
    <row r="15" spans="1:29" s="216" customFormat="1" ht="15.75" x14ac:dyDescent="0.3">
      <c r="A15" s="230" t="s">
        <v>254</v>
      </c>
      <c r="C15" s="291">
        <v>0</v>
      </c>
      <c r="D15" s="226"/>
      <c r="E15" s="237">
        <v>0</v>
      </c>
      <c r="F15" s="226"/>
      <c r="G15" s="237">
        <v>0</v>
      </c>
      <c r="H15" s="226"/>
      <c r="I15" s="237">
        <v>0</v>
      </c>
      <c r="J15" s="226"/>
      <c r="K15" s="237">
        <v>0</v>
      </c>
      <c r="L15" s="226"/>
      <c r="M15" s="237">
        <v>0</v>
      </c>
      <c r="N15" s="226"/>
      <c r="O15" s="237">
        <v>0</v>
      </c>
      <c r="P15" s="226"/>
      <c r="Q15" s="237">
        <v>0</v>
      </c>
      <c r="R15" s="226"/>
      <c r="S15" s="237">
        <v>0</v>
      </c>
      <c r="T15" s="226"/>
      <c r="U15" s="237">
        <v>0</v>
      </c>
      <c r="V15" s="226"/>
      <c r="W15" s="237">
        <v>0</v>
      </c>
      <c r="X15" s="226"/>
      <c r="Y15" s="237">
        <v>0</v>
      </c>
      <c r="Z15" s="226"/>
      <c r="AA15" s="222">
        <f>SUM(C15+E15+G15+I15+K15+M15+O15+Q15+S15+U15+W15+Y15)</f>
        <v>0</v>
      </c>
      <c r="AB15" s="222">
        <f>SUM(AA15/12)</f>
        <v>0</v>
      </c>
    </row>
    <row r="16" spans="1:29" s="216" customFormat="1" ht="15.75" x14ac:dyDescent="0.3">
      <c r="A16" s="230" t="s">
        <v>72</v>
      </c>
      <c r="C16" s="291">
        <v>43695.39</v>
      </c>
      <c r="D16" s="226"/>
      <c r="E16" s="237">
        <v>37325.629999999997</v>
      </c>
      <c r="F16" s="226"/>
      <c r="G16" s="237">
        <v>51277.58</v>
      </c>
      <c r="H16" s="226"/>
      <c r="I16" s="237">
        <v>40647.49</v>
      </c>
      <c r="J16" s="226"/>
      <c r="K16" s="237">
        <v>46611</v>
      </c>
      <c r="L16" s="226"/>
      <c r="M16" s="237">
        <v>38211.370000000003</v>
      </c>
      <c r="N16" s="226"/>
      <c r="O16" s="237">
        <v>42374.76</v>
      </c>
      <c r="P16" s="226"/>
      <c r="Q16" s="237">
        <v>48699.65</v>
      </c>
      <c r="R16" s="226"/>
      <c r="S16" s="237">
        <v>36634.769999999997</v>
      </c>
      <c r="T16" s="226"/>
      <c r="U16" s="237">
        <v>43814.83</v>
      </c>
      <c r="V16" s="226"/>
      <c r="W16" s="237">
        <v>59307.21</v>
      </c>
      <c r="X16" s="226"/>
      <c r="Y16" s="237">
        <v>48764.86</v>
      </c>
      <c r="Z16" s="226"/>
      <c r="AA16" s="222">
        <f t="shared" ref="AA16:AA26" si="2">SUM(C16+E16+G16+I16+K16+M16+O16+Q16+S16+U16+W16+Y16)</f>
        <v>537364.54</v>
      </c>
      <c r="AB16" s="222">
        <f t="shared" ref="AB16:AB26" si="3">SUM(AA16/12)</f>
        <v>44780.378333333334</v>
      </c>
    </row>
    <row r="17" spans="1:29" s="216" customFormat="1" ht="15.75" x14ac:dyDescent="0.3">
      <c r="A17" s="230"/>
      <c r="C17" s="237">
        <v>0</v>
      </c>
      <c r="D17" s="226"/>
      <c r="E17" s="237">
        <v>0</v>
      </c>
      <c r="F17" s="226"/>
      <c r="G17" s="237">
        <v>0</v>
      </c>
      <c r="H17" s="226"/>
      <c r="I17" s="237">
        <v>0</v>
      </c>
      <c r="J17" s="226"/>
      <c r="K17" s="237">
        <v>0</v>
      </c>
      <c r="L17" s="226"/>
      <c r="M17" s="237">
        <v>0</v>
      </c>
      <c r="N17" s="226"/>
      <c r="O17" s="237">
        <v>0</v>
      </c>
      <c r="P17" s="226"/>
      <c r="Q17" s="237">
        <v>0</v>
      </c>
      <c r="R17" s="226"/>
      <c r="S17" s="237">
        <v>0</v>
      </c>
      <c r="T17" s="226"/>
      <c r="U17" s="237">
        <v>0</v>
      </c>
      <c r="V17" s="226"/>
      <c r="W17" s="237">
        <v>0</v>
      </c>
      <c r="X17" s="226"/>
      <c r="Y17" s="237">
        <v>0</v>
      </c>
      <c r="Z17" s="226"/>
      <c r="AA17" s="222">
        <f t="shared" si="2"/>
        <v>0</v>
      </c>
      <c r="AB17" s="222">
        <f t="shared" si="3"/>
        <v>0</v>
      </c>
    </row>
    <row r="18" spans="1:29" s="216" customFormat="1" ht="15.75" x14ac:dyDescent="0.3">
      <c r="A18" s="230"/>
      <c r="C18" s="237">
        <v>0</v>
      </c>
      <c r="D18" s="226"/>
      <c r="E18" s="237">
        <v>0</v>
      </c>
      <c r="F18" s="226"/>
      <c r="G18" s="237">
        <v>0</v>
      </c>
      <c r="H18" s="226"/>
      <c r="I18" s="237">
        <v>0</v>
      </c>
      <c r="J18" s="226"/>
      <c r="K18" s="237">
        <v>0</v>
      </c>
      <c r="L18" s="226"/>
      <c r="M18" s="237">
        <v>0</v>
      </c>
      <c r="N18" s="226"/>
      <c r="O18" s="237">
        <v>0</v>
      </c>
      <c r="P18" s="226"/>
      <c r="Q18" s="237">
        <v>0</v>
      </c>
      <c r="R18" s="226"/>
      <c r="S18" s="237">
        <v>0</v>
      </c>
      <c r="T18" s="226"/>
      <c r="U18" s="237">
        <v>0</v>
      </c>
      <c r="V18" s="226"/>
      <c r="W18" s="237">
        <v>0</v>
      </c>
      <c r="X18" s="226"/>
      <c r="Y18" s="237">
        <v>0</v>
      </c>
      <c r="Z18" s="226"/>
      <c r="AA18" s="222">
        <f t="shared" si="2"/>
        <v>0</v>
      </c>
      <c r="AB18" s="222">
        <f t="shared" si="3"/>
        <v>0</v>
      </c>
    </row>
    <row r="19" spans="1:29" s="216" customFormat="1" ht="15.75" x14ac:dyDescent="0.3">
      <c r="A19" s="230"/>
      <c r="C19" s="237">
        <v>0</v>
      </c>
      <c r="D19" s="226"/>
      <c r="E19" s="237">
        <v>0</v>
      </c>
      <c r="F19" s="226"/>
      <c r="G19" s="237">
        <v>0</v>
      </c>
      <c r="H19" s="226"/>
      <c r="I19" s="237">
        <v>0</v>
      </c>
      <c r="J19" s="226"/>
      <c r="K19" s="237">
        <v>0</v>
      </c>
      <c r="L19" s="226"/>
      <c r="M19" s="237">
        <v>0</v>
      </c>
      <c r="N19" s="226"/>
      <c r="O19" s="237">
        <v>0</v>
      </c>
      <c r="P19" s="226"/>
      <c r="Q19" s="237">
        <v>0</v>
      </c>
      <c r="R19" s="226"/>
      <c r="S19" s="237">
        <v>0</v>
      </c>
      <c r="T19" s="226"/>
      <c r="U19" s="237">
        <v>0</v>
      </c>
      <c r="V19" s="226"/>
      <c r="W19" s="237">
        <v>0</v>
      </c>
      <c r="X19" s="226"/>
      <c r="Y19" s="237">
        <v>0</v>
      </c>
      <c r="Z19" s="226"/>
      <c r="AA19" s="222">
        <f t="shared" si="2"/>
        <v>0</v>
      </c>
      <c r="AB19" s="222">
        <f t="shared" si="3"/>
        <v>0</v>
      </c>
    </row>
    <row r="20" spans="1:29" s="216" customFormat="1" ht="15.75" x14ac:dyDescent="0.3">
      <c r="A20" s="230"/>
      <c r="C20" s="237">
        <v>0</v>
      </c>
      <c r="D20" s="226"/>
      <c r="E20" s="237">
        <v>0</v>
      </c>
      <c r="F20" s="226"/>
      <c r="G20" s="237">
        <v>0</v>
      </c>
      <c r="H20" s="226"/>
      <c r="I20" s="237">
        <v>0</v>
      </c>
      <c r="J20" s="226"/>
      <c r="K20" s="237">
        <v>0</v>
      </c>
      <c r="L20" s="226"/>
      <c r="M20" s="237">
        <v>0</v>
      </c>
      <c r="N20" s="226"/>
      <c r="O20" s="237">
        <v>0</v>
      </c>
      <c r="P20" s="226"/>
      <c r="Q20" s="237">
        <v>0</v>
      </c>
      <c r="R20" s="226"/>
      <c r="S20" s="237">
        <v>0</v>
      </c>
      <c r="T20" s="226"/>
      <c r="U20" s="237">
        <v>0</v>
      </c>
      <c r="V20" s="226"/>
      <c r="W20" s="237">
        <v>0</v>
      </c>
      <c r="X20" s="226"/>
      <c r="Y20" s="237">
        <v>0</v>
      </c>
      <c r="Z20" s="226"/>
      <c r="AA20" s="222">
        <f t="shared" si="2"/>
        <v>0</v>
      </c>
      <c r="AB20" s="222">
        <f t="shared" si="3"/>
        <v>0</v>
      </c>
    </row>
    <row r="21" spans="1:29" s="216" customFormat="1" ht="15.75" x14ac:dyDescent="0.3">
      <c r="A21" s="230"/>
      <c r="C21" s="237">
        <v>0</v>
      </c>
      <c r="D21" s="226"/>
      <c r="E21" s="237">
        <v>0</v>
      </c>
      <c r="F21" s="226"/>
      <c r="G21" s="237">
        <v>0</v>
      </c>
      <c r="H21" s="226"/>
      <c r="I21" s="237">
        <v>0</v>
      </c>
      <c r="J21" s="226"/>
      <c r="K21" s="237">
        <v>0</v>
      </c>
      <c r="L21" s="226"/>
      <c r="M21" s="237">
        <v>0</v>
      </c>
      <c r="N21" s="226"/>
      <c r="O21" s="237">
        <v>0</v>
      </c>
      <c r="P21" s="226"/>
      <c r="Q21" s="237">
        <v>0</v>
      </c>
      <c r="R21" s="226"/>
      <c r="S21" s="237">
        <v>0</v>
      </c>
      <c r="T21" s="226"/>
      <c r="U21" s="237">
        <v>0</v>
      </c>
      <c r="V21" s="226"/>
      <c r="W21" s="237">
        <v>0</v>
      </c>
      <c r="X21" s="226"/>
      <c r="Y21" s="237">
        <v>0</v>
      </c>
      <c r="Z21" s="226"/>
      <c r="AA21" s="222">
        <f t="shared" si="2"/>
        <v>0</v>
      </c>
      <c r="AB21" s="222">
        <f t="shared" si="3"/>
        <v>0</v>
      </c>
    </row>
    <row r="22" spans="1:29" s="216" customFormat="1" ht="15.75" x14ac:dyDescent="0.3">
      <c r="A22" s="230"/>
      <c r="C22" s="237">
        <v>0</v>
      </c>
      <c r="D22" s="226"/>
      <c r="E22" s="237">
        <v>0</v>
      </c>
      <c r="F22" s="226"/>
      <c r="G22" s="237">
        <v>0</v>
      </c>
      <c r="H22" s="226"/>
      <c r="I22" s="237">
        <v>0</v>
      </c>
      <c r="J22" s="226"/>
      <c r="K22" s="237">
        <v>0</v>
      </c>
      <c r="L22" s="226"/>
      <c r="M22" s="237">
        <v>0</v>
      </c>
      <c r="N22" s="226"/>
      <c r="O22" s="237">
        <v>0</v>
      </c>
      <c r="P22" s="226"/>
      <c r="Q22" s="237">
        <v>0</v>
      </c>
      <c r="R22" s="226"/>
      <c r="S22" s="237">
        <v>0</v>
      </c>
      <c r="T22" s="226"/>
      <c r="U22" s="237">
        <v>0</v>
      </c>
      <c r="V22" s="226"/>
      <c r="W22" s="237">
        <v>0</v>
      </c>
      <c r="X22" s="226"/>
      <c r="Y22" s="237">
        <v>0</v>
      </c>
      <c r="Z22" s="226"/>
      <c r="AA22" s="222">
        <f t="shared" si="2"/>
        <v>0</v>
      </c>
      <c r="AB22" s="222">
        <f t="shared" si="3"/>
        <v>0</v>
      </c>
    </row>
    <row r="23" spans="1:29" s="216" customFormat="1" ht="15.75" x14ac:dyDescent="0.3">
      <c r="A23" s="230"/>
      <c r="C23" s="237">
        <v>0</v>
      </c>
      <c r="D23" s="226"/>
      <c r="E23" s="237">
        <v>0</v>
      </c>
      <c r="F23" s="226"/>
      <c r="G23" s="237">
        <v>0</v>
      </c>
      <c r="H23" s="226"/>
      <c r="I23" s="237">
        <v>0</v>
      </c>
      <c r="J23" s="226"/>
      <c r="K23" s="237">
        <v>0</v>
      </c>
      <c r="L23" s="226"/>
      <c r="M23" s="237">
        <v>0</v>
      </c>
      <c r="N23" s="226"/>
      <c r="O23" s="237">
        <v>0</v>
      </c>
      <c r="P23" s="226"/>
      <c r="Q23" s="237">
        <v>0</v>
      </c>
      <c r="R23" s="226"/>
      <c r="S23" s="237">
        <v>0</v>
      </c>
      <c r="T23" s="226"/>
      <c r="U23" s="237">
        <v>0</v>
      </c>
      <c r="V23" s="226"/>
      <c r="W23" s="237">
        <v>0</v>
      </c>
      <c r="X23" s="226"/>
      <c r="Y23" s="237">
        <v>0</v>
      </c>
      <c r="Z23" s="226"/>
      <c r="AA23" s="222">
        <f t="shared" si="2"/>
        <v>0</v>
      </c>
      <c r="AB23" s="222">
        <f t="shared" si="3"/>
        <v>0</v>
      </c>
    </row>
    <row r="24" spans="1:29" s="216" customFormat="1" ht="15.75" x14ac:dyDescent="0.3">
      <c r="A24" s="230"/>
      <c r="C24" s="237">
        <v>0</v>
      </c>
      <c r="D24" s="226"/>
      <c r="E24" s="237">
        <v>0</v>
      </c>
      <c r="F24" s="226"/>
      <c r="G24" s="237">
        <v>0</v>
      </c>
      <c r="H24" s="226"/>
      <c r="I24" s="237">
        <v>0</v>
      </c>
      <c r="J24" s="226"/>
      <c r="K24" s="237">
        <v>0</v>
      </c>
      <c r="L24" s="226"/>
      <c r="M24" s="237">
        <v>0</v>
      </c>
      <c r="N24" s="226"/>
      <c r="O24" s="237">
        <v>0</v>
      </c>
      <c r="P24" s="226"/>
      <c r="Q24" s="237">
        <v>0</v>
      </c>
      <c r="R24" s="226"/>
      <c r="S24" s="237">
        <v>0</v>
      </c>
      <c r="T24" s="226"/>
      <c r="U24" s="237">
        <v>0</v>
      </c>
      <c r="V24" s="226"/>
      <c r="W24" s="237">
        <v>0</v>
      </c>
      <c r="X24" s="226"/>
      <c r="Y24" s="237">
        <v>0</v>
      </c>
      <c r="Z24" s="226"/>
      <c r="AA24" s="222">
        <f t="shared" si="2"/>
        <v>0</v>
      </c>
      <c r="AB24" s="222">
        <f t="shared" si="3"/>
        <v>0</v>
      </c>
    </row>
    <row r="25" spans="1:29" s="216" customFormat="1" ht="15.75" x14ac:dyDescent="0.3">
      <c r="A25" s="230"/>
      <c r="C25" s="237">
        <v>0</v>
      </c>
      <c r="D25" s="226"/>
      <c r="E25" s="237">
        <v>0</v>
      </c>
      <c r="F25" s="226"/>
      <c r="G25" s="237">
        <v>0</v>
      </c>
      <c r="H25" s="226"/>
      <c r="I25" s="237">
        <v>0</v>
      </c>
      <c r="J25" s="226"/>
      <c r="K25" s="237">
        <v>0</v>
      </c>
      <c r="L25" s="226"/>
      <c r="M25" s="237">
        <v>0</v>
      </c>
      <c r="N25" s="226"/>
      <c r="O25" s="237">
        <v>0</v>
      </c>
      <c r="P25" s="226"/>
      <c r="Q25" s="237">
        <v>0</v>
      </c>
      <c r="R25" s="226"/>
      <c r="S25" s="237">
        <v>0</v>
      </c>
      <c r="T25" s="226"/>
      <c r="U25" s="237">
        <v>0</v>
      </c>
      <c r="V25" s="226"/>
      <c r="W25" s="237">
        <v>0</v>
      </c>
      <c r="X25" s="226"/>
      <c r="Y25" s="237">
        <v>0</v>
      </c>
      <c r="Z25" s="226"/>
      <c r="AA25" s="222">
        <f t="shared" si="2"/>
        <v>0</v>
      </c>
      <c r="AB25" s="222">
        <f t="shared" si="3"/>
        <v>0</v>
      </c>
    </row>
    <row r="26" spans="1:29" s="216" customFormat="1" ht="15.75" x14ac:dyDescent="0.3">
      <c r="A26" s="230"/>
      <c r="C26" s="237">
        <v>0</v>
      </c>
      <c r="D26" s="226"/>
      <c r="E26" s="237">
        <v>0</v>
      </c>
      <c r="F26" s="226"/>
      <c r="G26" s="237">
        <v>0</v>
      </c>
      <c r="H26" s="226"/>
      <c r="I26" s="237">
        <v>0</v>
      </c>
      <c r="J26" s="226"/>
      <c r="K26" s="237">
        <v>0</v>
      </c>
      <c r="L26" s="226"/>
      <c r="M26" s="237">
        <v>0</v>
      </c>
      <c r="N26" s="226"/>
      <c r="O26" s="237">
        <v>0</v>
      </c>
      <c r="P26" s="226"/>
      <c r="Q26" s="237">
        <v>0</v>
      </c>
      <c r="R26" s="226"/>
      <c r="S26" s="237">
        <v>0</v>
      </c>
      <c r="T26" s="226"/>
      <c r="U26" s="237">
        <v>0</v>
      </c>
      <c r="V26" s="226"/>
      <c r="W26" s="237">
        <v>0</v>
      </c>
      <c r="X26" s="226"/>
      <c r="Y26" s="237">
        <v>0</v>
      </c>
      <c r="Z26" s="226"/>
      <c r="AA26" s="222">
        <f t="shared" si="2"/>
        <v>0</v>
      </c>
      <c r="AB26" s="222">
        <f t="shared" si="3"/>
        <v>0</v>
      </c>
    </row>
    <row r="27" spans="1:29" s="216" customFormat="1" ht="15.75" x14ac:dyDescent="0.3">
      <c r="A27" s="250" t="s">
        <v>32</v>
      </c>
      <c r="B27" s="224"/>
      <c r="C27" s="231">
        <f>SUM(C14:C26)</f>
        <v>528758.6</v>
      </c>
      <c r="E27" s="231">
        <f>SUM(E14:E26)</f>
        <v>516864.06</v>
      </c>
      <c r="G27" s="231">
        <f>SUM(G14:G26)</f>
        <v>540367.04</v>
      </c>
      <c r="I27" s="231">
        <f>SUM(I14:I26)</f>
        <v>542592.55000000005</v>
      </c>
      <c r="K27" s="231">
        <f>SUM(K14:K26)</f>
        <v>544326.29</v>
      </c>
      <c r="M27" s="231">
        <f>SUM(M14:M26)</f>
        <v>529594.97</v>
      </c>
      <c r="O27" s="231">
        <f>SUM(O14:O26)</f>
        <v>528386.43999999994</v>
      </c>
      <c r="Q27" s="231">
        <f>SUM(Q14:Q26)</f>
        <v>551087.1</v>
      </c>
      <c r="S27" s="231">
        <f>SUM(S14:S26)</f>
        <v>512253.71</v>
      </c>
      <c r="U27" s="231">
        <f>SUM(U14:U26)</f>
        <v>534396.88</v>
      </c>
      <c r="W27" s="231">
        <f>SUM(W14:W26)</f>
        <v>564464.30999999994</v>
      </c>
      <c r="Y27" s="231">
        <f>SUM(Y14:Y26)</f>
        <v>527411.29</v>
      </c>
      <c r="AA27" s="271">
        <f>SUM(AA14:AA26)</f>
        <v>6420503.2400000002</v>
      </c>
      <c r="AB27" s="271">
        <f>SUM(AB14:AB26)</f>
        <v>535041.93666666665</v>
      </c>
    </row>
    <row r="28" spans="1:29" x14ac:dyDescent="0.25">
      <c r="AB28" s="233"/>
      <c r="AC28" s="233"/>
    </row>
    <row r="29" spans="1:29" ht="10.5" customHeight="1" x14ac:dyDescent="0.35">
      <c r="A29" s="269"/>
      <c r="AB29" s="233"/>
      <c r="AC29" s="233"/>
    </row>
    <row r="30" spans="1:29" ht="18.75" x14ac:dyDescent="0.3">
      <c r="A30" s="272" t="s">
        <v>206</v>
      </c>
      <c r="C30" s="237">
        <f>SUM(C7)</f>
        <v>978186.47</v>
      </c>
      <c r="D30" s="237"/>
      <c r="E30" s="237">
        <f>SUM(E7)</f>
        <v>943186.47</v>
      </c>
      <c r="F30" s="237"/>
      <c r="G30" s="237">
        <f>SUM(G7)</f>
        <v>943186.47</v>
      </c>
      <c r="H30" s="237"/>
      <c r="I30" s="237">
        <f>SUM(I7)</f>
        <v>943186.47</v>
      </c>
      <c r="J30" s="237"/>
      <c r="K30" s="237">
        <f>SUM(K7)</f>
        <v>1305026.47</v>
      </c>
      <c r="L30" s="237"/>
      <c r="M30" s="237">
        <f>SUM(M7)</f>
        <v>943186.47</v>
      </c>
      <c r="N30" s="237"/>
      <c r="O30" s="237">
        <f>SUM(O7)</f>
        <v>626346.47</v>
      </c>
      <c r="P30" s="237"/>
      <c r="Q30" s="237">
        <f>SUM(Q7)</f>
        <v>940510.37</v>
      </c>
      <c r="R30" s="237"/>
      <c r="S30" s="237">
        <f>SUM(S7)</f>
        <v>943186.47</v>
      </c>
      <c r="T30" s="237"/>
      <c r="U30" s="237">
        <f>SUM(U7)</f>
        <v>943186.47</v>
      </c>
      <c r="V30" s="237"/>
      <c r="W30" s="237">
        <f>SUM(W7)</f>
        <v>581346.47</v>
      </c>
      <c r="X30" s="237"/>
      <c r="Y30" s="237">
        <f>SUM(Y7)</f>
        <v>1666866.47</v>
      </c>
      <c r="Z30" s="237"/>
      <c r="AA30" s="237">
        <f>SUM(C30+E30+G30+I30+K30+M30+O30+Q30+S30+U30+W30+Y30)</f>
        <v>11757401.540000001</v>
      </c>
      <c r="AB30" s="237">
        <f>SUM(AA30/12)</f>
        <v>979783.46166666679</v>
      </c>
      <c r="AC30" s="233"/>
    </row>
    <row r="31" spans="1:29" ht="18.75" x14ac:dyDescent="0.3">
      <c r="A31" s="272" t="s">
        <v>231</v>
      </c>
      <c r="B31" s="247"/>
      <c r="C31" s="237">
        <f>SUM(C27)</f>
        <v>528758.6</v>
      </c>
      <c r="D31" s="237"/>
      <c r="E31" s="237">
        <f>SUM(E27)</f>
        <v>516864.06</v>
      </c>
      <c r="F31" s="237"/>
      <c r="G31" s="237">
        <f>SUM(G27)</f>
        <v>540367.04</v>
      </c>
      <c r="H31" s="237"/>
      <c r="I31" s="237">
        <f>SUM(I27)</f>
        <v>542592.55000000005</v>
      </c>
      <c r="J31" s="237"/>
      <c r="K31" s="237">
        <f>SUM(K27)</f>
        <v>544326.29</v>
      </c>
      <c r="L31" s="237"/>
      <c r="M31" s="237">
        <f>SUM(M27)</f>
        <v>529594.97</v>
      </c>
      <c r="N31" s="237"/>
      <c r="O31" s="237">
        <f>SUM(O27)</f>
        <v>528386.43999999994</v>
      </c>
      <c r="P31" s="237"/>
      <c r="Q31" s="237">
        <f>SUM(Q27)</f>
        <v>551087.1</v>
      </c>
      <c r="R31" s="237"/>
      <c r="S31" s="237">
        <f>SUM(S27)</f>
        <v>512253.71</v>
      </c>
      <c r="T31" s="237"/>
      <c r="U31" s="237">
        <f>SUM(U27)</f>
        <v>534396.88</v>
      </c>
      <c r="V31" s="237"/>
      <c r="W31" s="237">
        <f>SUM(W27)</f>
        <v>564464.30999999994</v>
      </c>
      <c r="X31" s="237"/>
      <c r="Y31" s="237">
        <f>SUM(Y27)</f>
        <v>527411.29</v>
      </c>
      <c r="Z31" s="237"/>
      <c r="AA31" s="237">
        <f>SUM(AA27)</f>
        <v>6420503.2400000002</v>
      </c>
      <c r="AB31" s="237">
        <f>SUM(AB27)</f>
        <v>535041.93666666665</v>
      </c>
      <c r="AC31" s="247"/>
    </row>
    <row r="32" spans="1:29" s="216" customFormat="1" ht="15.75" x14ac:dyDescent="0.3">
      <c r="A32" s="250" t="s">
        <v>32</v>
      </c>
      <c r="B32" s="224"/>
      <c r="C32" s="249">
        <f>SUM(C30-C31)</f>
        <v>449427.87</v>
      </c>
      <c r="D32" s="249"/>
      <c r="E32" s="249">
        <f>SUM(E30-E31)</f>
        <v>426322.41</v>
      </c>
      <c r="F32" s="249"/>
      <c r="G32" s="249">
        <f>SUM(G30-G31)</f>
        <v>402819.42999999993</v>
      </c>
      <c r="H32" s="249"/>
      <c r="I32" s="249">
        <f>SUM(I30-I31)</f>
        <v>400593.91999999993</v>
      </c>
      <c r="J32" s="249"/>
      <c r="K32" s="249">
        <f>SUM(K30-K31)</f>
        <v>760700.17999999993</v>
      </c>
      <c r="L32" s="249"/>
      <c r="M32" s="249">
        <f>SUM(M30-M31)</f>
        <v>413591.5</v>
      </c>
      <c r="N32" s="249"/>
      <c r="O32" s="249">
        <f>SUM(O30-O31)</f>
        <v>97960.030000000028</v>
      </c>
      <c r="P32" s="249"/>
      <c r="Q32" s="249">
        <f>SUM(Q30-Q31)</f>
        <v>389423.27</v>
      </c>
      <c r="R32" s="249"/>
      <c r="S32" s="249">
        <f>SUM(S30-S31)</f>
        <v>430932.75999999995</v>
      </c>
      <c r="T32" s="249"/>
      <c r="U32" s="249">
        <f>SUM(U30-U31)</f>
        <v>408789.58999999997</v>
      </c>
      <c r="V32" s="249"/>
      <c r="W32" s="249">
        <f>SUM(W30-W31)</f>
        <v>16882.160000000033</v>
      </c>
      <c r="X32" s="249"/>
      <c r="Y32" s="249">
        <f>SUM(Y30-Y31)</f>
        <v>1139455.18</v>
      </c>
      <c r="Z32" s="249"/>
      <c r="AA32" s="262">
        <f>SUM(AA30-AA31)</f>
        <v>5336898.3000000007</v>
      </c>
      <c r="AB32" s="261">
        <f>SUM(AB30-AB31)</f>
        <v>444741.52500000014</v>
      </c>
      <c r="AC32" s="224"/>
    </row>
    <row r="33" spans="1:29" x14ac:dyDescent="0.25">
      <c r="AA33" s="256"/>
      <c r="AB33" s="256"/>
      <c r="AC33" s="256"/>
    </row>
    <row r="34" spans="1:29" x14ac:dyDescent="0.25">
      <c r="AA34" s="256"/>
      <c r="AB34" s="256"/>
    </row>
    <row r="40" spans="1:29" s="270" customFormat="1" x14ac:dyDescent="0.25">
      <c r="A40" s="311"/>
      <c r="B40" s="311"/>
      <c r="C40" s="311"/>
      <c r="D40" s="311"/>
      <c r="E40" s="311"/>
      <c r="F40" s="311"/>
      <c r="G40" s="311"/>
      <c r="H40" s="311"/>
      <c r="I40" s="311"/>
      <c r="J40" s="311"/>
      <c r="K40" s="311"/>
      <c r="L40" s="311"/>
      <c r="M40" s="311"/>
      <c r="N40" s="311"/>
      <c r="O40" s="311"/>
      <c r="P40" s="311"/>
      <c r="Q40" s="311"/>
      <c r="R40" s="311"/>
      <c r="S40" s="311"/>
      <c r="T40" s="311"/>
      <c r="U40" s="311"/>
      <c r="V40" s="311"/>
      <c r="W40" s="311"/>
      <c r="X40" s="311"/>
      <c r="Y40" s="311"/>
      <c r="Z40" s="311"/>
      <c r="AA40" s="311"/>
      <c r="AB40" s="226"/>
    </row>
    <row r="41" spans="1:29" s="270" customFormat="1" x14ac:dyDescent="0.25">
      <c r="A41" s="311"/>
      <c r="B41" s="311"/>
      <c r="C41" s="311"/>
      <c r="D41" s="311"/>
      <c r="E41" s="311"/>
      <c r="F41" s="311"/>
      <c r="G41" s="311"/>
      <c r="H41" s="311"/>
      <c r="I41" s="311"/>
      <c r="J41" s="311"/>
      <c r="K41" s="311"/>
      <c r="L41" s="311"/>
      <c r="M41" s="311"/>
      <c r="N41" s="311"/>
      <c r="O41" s="311"/>
      <c r="P41" s="311"/>
      <c r="Q41" s="311"/>
      <c r="R41" s="311"/>
      <c r="S41" s="311"/>
      <c r="T41" s="311"/>
      <c r="U41" s="311"/>
      <c r="V41" s="311"/>
      <c r="W41" s="311"/>
      <c r="X41" s="311"/>
      <c r="Y41" s="311"/>
      <c r="Z41" s="311"/>
      <c r="AA41" s="311"/>
      <c r="AB41" s="226"/>
    </row>
    <row r="42" spans="1:29" s="270" customFormat="1" x14ac:dyDescent="0.25">
      <c r="A42" s="311"/>
      <c r="B42" s="311"/>
      <c r="C42" s="311"/>
      <c r="D42" s="311"/>
      <c r="E42" s="311"/>
      <c r="F42" s="311"/>
      <c r="G42" s="311"/>
      <c r="H42" s="311"/>
      <c r="I42" s="311"/>
      <c r="J42" s="311"/>
      <c r="K42" s="311"/>
      <c r="L42" s="311"/>
      <c r="M42" s="311"/>
      <c r="N42" s="311"/>
      <c r="O42" s="311"/>
      <c r="P42" s="311"/>
      <c r="Q42" s="311"/>
      <c r="R42" s="311"/>
      <c r="S42" s="311"/>
      <c r="T42" s="311"/>
      <c r="U42" s="311"/>
      <c r="V42" s="311"/>
      <c r="W42" s="311"/>
      <c r="X42" s="311"/>
      <c r="Y42" s="311"/>
      <c r="Z42" s="311"/>
      <c r="AA42" s="311"/>
      <c r="AB42" s="226"/>
    </row>
  </sheetData>
  <mergeCells count="10">
    <mergeCell ref="A1:AA1"/>
    <mergeCell ref="A2:AA2"/>
    <mergeCell ref="A3:AA3"/>
    <mergeCell ref="A4:AA4"/>
    <mergeCell ref="G12:Q12"/>
    <mergeCell ref="A40:AA40"/>
    <mergeCell ref="A41:AA41"/>
    <mergeCell ref="A42:AA42"/>
    <mergeCell ref="C5:AB5"/>
    <mergeCell ref="C11:AB11"/>
  </mergeCells>
  <conditionalFormatting sqref="A27">
    <cfRule type="dataBar" priority="39">
      <dataBar>
        <cfvo type="min"/>
        <cfvo type="max"/>
        <color theme="0"/>
      </dataBar>
    </cfRule>
    <cfRule type="dataBar" priority="40">
      <dataBar>
        <cfvo type="min"/>
        <cfvo type="max"/>
        <color theme="0"/>
      </dataBar>
    </cfRule>
  </conditionalFormatting>
  <conditionalFormatting sqref="A27">
    <cfRule type="dataBar" priority="36">
      <dataBar>
        <cfvo type="min"/>
        <cfvo type="max"/>
        <color rgb="FFFF555A"/>
      </dataBar>
    </cfRule>
    <cfRule type="iconSet" priority="37">
      <iconSet iconSet="4TrafficLights">
        <cfvo type="percent" val="0"/>
        <cfvo type="percent" val="25"/>
        <cfvo type="percent" val="50"/>
        <cfvo type="percent" val="75"/>
      </iconSet>
    </cfRule>
    <cfRule type="dataBar" priority="38">
      <dataBar>
        <cfvo type="min"/>
        <cfvo type="max"/>
        <color rgb="FF638EC6"/>
      </dataBar>
    </cfRule>
  </conditionalFormatting>
  <conditionalFormatting sqref="A15:A26">
    <cfRule type="dataBar" priority="29">
      <dataBar>
        <cfvo type="min"/>
        <cfvo type="max"/>
        <color theme="0"/>
      </dataBar>
    </cfRule>
    <cfRule type="dataBar" priority="30">
      <dataBar>
        <cfvo type="min"/>
        <cfvo type="max"/>
        <color theme="0"/>
      </dataBar>
    </cfRule>
  </conditionalFormatting>
  <conditionalFormatting sqref="A15:A26">
    <cfRule type="dataBar" priority="26">
      <dataBar>
        <cfvo type="min"/>
        <cfvo type="max"/>
        <color rgb="FFFF555A"/>
      </dataBar>
    </cfRule>
    <cfRule type="iconSet" priority="27">
      <iconSet iconSet="4TrafficLights">
        <cfvo type="percent" val="0"/>
        <cfvo type="percent" val="25"/>
        <cfvo type="percent" val="50"/>
        <cfvo type="percent" val="75"/>
      </iconSet>
    </cfRule>
    <cfRule type="dataBar" priority="28">
      <dataBar>
        <cfvo type="min"/>
        <cfvo type="max"/>
        <color rgb="FF638EC6"/>
      </dataBar>
    </cfRule>
  </conditionalFormatting>
  <conditionalFormatting sqref="A15:A16">
    <cfRule type="dataBar" priority="34">
      <dataBar>
        <cfvo type="min"/>
        <cfvo type="max"/>
        <color theme="0"/>
      </dataBar>
    </cfRule>
    <cfRule type="dataBar" priority="35">
      <dataBar>
        <cfvo type="min"/>
        <cfvo type="max"/>
        <color theme="0"/>
      </dataBar>
    </cfRule>
  </conditionalFormatting>
  <conditionalFormatting sqref="A15:A16">
    <cfRule type="dataBar" priority="31">
      <dataBar>
        <cfvo type="min"/>
        <cfvo type="max"/>
        <color rgb="FFFF555A"/>
      </dataBar>
    </cfRule>
    <cfRule type="iconSet" priority="32">
      <iconSet iconSet="4TrafficLights">
        <cfvo type="percent" val="0"/>
        <cfvo type="percent" val="25"/>
        <cfvo type="percent" val="50"/>
        <cfvo type="percent" val="75"/>
      </iconSet>
    </cfRule>
    <cfRule type="dataBar" priority="33">
      <dataBar>
        <cfvo type="min"/>
        <cfvo type="max"/>
        <color rgb="FF638EC6"/>
      </dataBar>
    </cfRule>
  </conditionalFormatting>
  <conditionalFormatting sqref="A6">
    <cfRule type="dataBar" priority="16">
      <dataBar>
        <cfvo type="min"/>
        <cfvo type="max"/>
        <color theme="0"/>
      </dataBar>
    </cfRule>
    <cfRule type="dataBar" priority="17">
      <dataBar>
        <cfvo type="min"/>
        <cfvo type="max"/>
        <color theme="0"/>
      </dataBar>
    </cfRule>
  </conditionalFormatting>
  <conditionalFormatting sqref="A6">
    <cfRule type="dataBar" priority="18">
      <dataBar>
        <cfvo type="min"/>
        <cfvo type="max"/>
        <color rgb="FFFF555A"/>
      </dataBar>
    </cfRule>
    <cfRule type="iconSet" priority="19">
      <iconSet iconSet="4TrafficLights">
        <cfvo type="percent" val="0"/>
        <cfvo type="percent" val="25"/>
        <cfvo type="percent" val="50"/>
        <cfvo type="percent" val="75"/>
      </iconSet>
    </cfRule>
    <cfRule type="dataBar" priority="20">
      <dataBar>
        <cfvo type="min"/>
        <cfvo type="max"/>
        <color rgb="FF638EC6"/>
      </dataBar>
    </cfRule>
  </conditionalFormatting>
  <conditionalFormatting sqref="A8">
    <cfRule type="dataBar" priority="14">
      <dataBar>
        <cfvo type="min"/>
        <cfvo type="max"/>
        <color theme="0"/>
      </dataBar>
    </cfRule>
    <cfRule type="dataBar" priority="15">
      <dataBar>
        <cfvo type="min"/>
        <cfvo type="max"/>
        <color theme="0"/>
      </dataBar>
    </cfRule>
  </conditionalFormatting>
  <conditionalFormatting sqref="A8">
    <cfRule type="dataBar" priority="11">
      <dataBar>
        <cfvo type="min"/>
        <cfvo type="max"/>
        <color rgb="FFFF555A"/>
      </dataBar>
    </cfRule>
    <cfRule type="iconSet" priority="12">
      <iconSet iconSet="4TrafficLights">
        <cfvo type="percent" val="0"/>
        <cfvo type="percent" val="25"/>
        <cfvo type="percent" val="50"/>
        <cfvo type="percent" val="75"/>
      </iconSet>
    </cfRule>
    <cfRule type="dataBar" priority="13">
      <dataBar>
        <cfvo type="min"/>
        <cfvo type="max"/>
        <color rgb="FF638EC6"/>
      </dataBar>
    </cfRule>
  </conditionalFormatting>
  <conditionalFormatting sqref="A13">
    <cfRule type="dataBar" priority="41">
      <dataBar>
        <cfvo type="min"/>
        <cfvo type="max"/>
        <color theme="0"/>
      </dataBar>
    </cfRule>
    <cfRule type="dataBar" priority="42">
      <dataBar>
        <cfvo type="min"/>
        <cfvo type="max"/>
        <color theme="0"/>
      </dataBar>
    </cfRule>
  </conditionalFormatting>
  <conditionalFormatting sqref="A13">
    <cfRule type="dataBar" priority="43">
      <dataBar>
        <cfvo type="min"/>
        <cfvo type="max"/>
        <color rgb="FFFF555A"/>
      </dataBar>
    </cfRule>
    <cfRule type="iconSet" priority="44">
      <iconSet iconSet="4TrafficLights">
        <cfvo type="percent" val="0"/>
        <cfvo type="percent" val="25"/>
        <cfvo type="percent" val="50"/>
        <cfvo type="percent" val="75"/>
      </iconSet>
    </cfRule>
    <cfRule type="dataBar" priority="45">
      <dataBar>
        <cfvo type="min"/>
        <cfvo type="max"/>
        <color rgb="FF638EC6"/>
      </dataBar>
    </cfRule>
  </conditionalFormatting>
  <conditionalFormatting sqref="A32">
    <cfRule type="dataBar" priority="9">
      <dataBar>
        <cfvo type="min"/>
        <cfvo type="max"/>
        <color theme="0"/>
      </dataBar>
    </cfRule>
    <cfRule type="dataBar" priority="10">
      <dataBar>
        <cfvo type="min"/>
        <cfvo type="max"/>
        <color theme="0"/>
      </dataBar>
    </cfRule>
  </conditionalFormatting>
  <conditionalFormatting sqref="A32">
    <cfRule type="dataBar" priority="6">
      <dataBar>
        <cfvo type="min"/>
        <cfvo type="max"/>
        <color rgb="FFFF555A"/>
      </dataBar>
    </cfRule>
    <cfRule type="iconSet" priority="7">
      <iconSet iconSet="4TrafficLights">
        <cfvo type="percent" val="0"/>
        <cfvo type="percent" val="25"/>
        <cfvo type="percent" val="50"/>
        <cfvo type="percent" val="75"/>
      </iconSet>
    </cfRule>
    <cfRule type="dataBar" priority="8">
      <dataBar>
        <cfvo type="min"/>
        <cfvo type="max"/>
        <color rgb="FF638EC6"/>
      </dataBar>
    </cfRule>
  </conditionalFormatting>
  <conditionalFormatting sqref="A14">
    <cfRule type="dataBar" priority="4">
      <dataBar>
        <cfvo type="min"/>
        <cfvo type="max"/>
        <color theme="0"/>
      </dataBar>
    </cfRule>
    <cfRule type="dataBar" priority="5">
      <dataBar>
        <cfvo type="min"/>
        <cfvo type="max"/>
        <color theme="0"/>
      </dataBar>
    </cfRule>
  </conditionalFormatting>
  <conditionalFormatting sqref="A14">
    <cfRule type="dataBar" priority="1">
      <dataBar>
        <cfvo type="min"/>
        <cfvo type="max"/>
        <color rgb="FFFF555A"/>
      </dataBar>
    </cfRule>
    <cfRule type="iconSet" priority="2">
      <iconSet iconSet="4TrafficLights">
        <cfvo type="percent" val="0"/>
        <cfvo type="percent" val="25"/>
        <cfvo type="percent" val="50"/>
        <cfvo type="percent" val="75"/>
      </iconSet>
    </cfRule>
    <cfRule type="dataBar" priority="3">
      <dataBar>
        <cfvo type="min"/>
        <cfvo type="max"/>
        <color rgb="FF638EC6"/>
      </dataBar>
    </cfRule>
  </conditionalFormatting>
  <pageMargins left="0" right="0" top="0" bottom="0" header="0.31496062992125984" footer="0.31496062992125984"/>
  <pageSetup paperSize="9" scale="6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00"/>
  </sheetPr>
  <dimension ref="A1:AC42"/>
  <sheetViews>
    <sheetView zoomScale="83" zoomScaleNormal="83" workbookViewId="0">
      <selection activeCell="A4" sqref="A4:AA4"/>
    </sheetView>
  </sheetViews>
  <sheetFormatPr defaultRowHeight="15" x14ac:dyDescent="0.25"/>
  <cols>
    <col min="1" max="1" width="11.140625" style="226" customWidth="1"/>
    <col min="2" max="2" width="0.7109375" style="226" customWidth="1"/>
    <col min="3" max="3" width="14.7109375" style="226" bestFit="1" customWidth="1"/>
    <col min="4" max="4" width="1" style="226" customWidth="1"/>
    <col min="5" max="5" width="14.7109375" style="226" bestFit="1" customWidth="1"/>
    <col min="6" max="6" width="0.85546875" style="226" customWidth="1"/>
    <col min="7" max="7" width="16.28515625" style="226" bestFit="1" customWidth="1"/>
    <col min="8" max="8" width="0.7109375" style="226" customWidth="1"/>
    <col min="9" max="9" width="14.42578125" style="226" bestFit="1" customWidth="1"/>
    <col min="10" max="10" width="0.7109375" style="226" customWidth="1"/>
    <col min="11" max="11" width="14.42578125" style="226" bestFit="1" customWidth="1"/>
    <col min="12" max="12" width="0.7109375" style="226" customWidth="1"/>
    <col min="13" max="13" width="14.42578125" style="226" bestFit="1" customWidth="1"/>
    <col min="14" max="14" width="0.7109375" style="226" customWidth="1"/>
    <col min="15" max="15" width="14.42578125" style="226" bestFit="1" customWidth="1"/>
    <col min="16" max="16" width="0.85546875" style="226" customWidth="1"/>
    <col min="17" max="17" width="14.42578125" style="226" bestFit="1" customWidth="1"/>
    <col min="18" max="18" width="0.85546875" style="226" customWidth="1"/>
    <col min="19" max="19" width="16.28515625" style="226" bestFit="1" customWidth="1"/>
    <col min="20" max="20" width="0.85546875" style="226" customWidth="1"/>
    <col min="21" max="21" width="16.28515625" style="226" bestFit="1" customWidth="1"/>
    <col min="22" max="22" width="0.7109375" style="226" customWidth="1"/>
    <col min="23" max="23" width="16.28515625" style="226" bestFit="1" customWidth="1"/>
    <col min="24" max="24" width="0.5703125" style="226" customWidth="1"/>
    <col min="25" max="25" width="16.28515625" style="226" bestFit="1" customWidth="1"/>
    <col min="26" max="26" width="0.7109375" style="226" customWidth="1"/>
    <col min="27" max="27" width="17.42578125" style="226" customWidth="1"/>
    <col min="28" max="28" width="14.42578125" style="226" bestFit="1" customWidth="1"/>
    <col min="29" max="16384" width="9.140625" style="226"/>
  </cols>
  <sheetData>
    <row r="1" spans="1:29" ht="30" x14ac:dyDescent="0.4">
      <c r="A1" s="322" t="s">
        <v>284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257"/>
    </row>
    <row r="2" spans="1:29" s="264" customFormat="1" ht="15" customHeight="1" x14ac:dyDescent="0.2">
      <c r="A2" s="323" t="s">
        <v>289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01"/>
    </row>
    <row r="3" spans="1:29" s="264" customFormat="1" ht="15" customHeight="1" x14ac:dyDescent="0.2">
      <c r="A3" s="324" t="s">
        <v>282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04"/>
    </row>
    <row r="4" spans="1:29" s="264" customFormat="1" ht="15" customHeight="1" x14ac:dyDescent="0.2">
      <c r="A4" s="325" t="s">
        <v>290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04"/>
    </row>
    <row r="5" spans="1:29" ht="31.5" customHeight="1" x14ac:dyDescent="0.5">
      <c r="A5" s="251"/>
      <c r="B5" s="251"/>
      <c r="C5" s="321" t="s">
        <v>268</v>
      </c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</row>
    <row r="6" spans="1:29" s="244" customFormat="1" ht="33" customHeight="1" x14ac:dyDescent="0.4">
      <c r="A6" s="265"/>
      <c r="C6" s="266">
        <v>43831</v>
      </c>
      <c r="D6" s="224"/>
      <c r="E6" s="266">
        <v>43862</v>
      </c>
      <c r="F6" s="224"/>
      <c r="G6" s="266">
        <v>43891</v>
      </c>
      <c r="H6" s="224"/>
      <c r="I6" s="266">
        <v>43922</v>
      </c>
      <c r="J6" s="216"/>
      <c r="K6" s="266">
        <v>43952</v>
      </c>
      <c r="L6" s="216"/>
      <c r="M6" s="266">
        <v>43983</v>
      </c>
      <c r="N6" s="216"/>
      <c r="O6" s="266">
        <v>44013</v>
      </c>
      <c r="P6" s="216"/>
      <c r="Q6" s="266">
        <v>44044</v>
      </c>
      <c r="R6" s="216"/>
      <c r="S6" s="266">
        <v>44075</v>
      </c>
      <c r="T6" s="216"/>
      <c r="U6" s="266">
        <v>44105</v>
      </c>
      <c r="V6" s="216"/>
      <c r="W6" s="266">
        <v>44136</v>
      </c>
      <c r="X6" s="216"/>
      <c r="Y6" s="266">
        <v>44166</v>
      </c>
      <c r="AA6" s="216" t="s">
        <v>267</v>
      </c>
      <c r="AB6" s="245" t="s">
        <v>260</v>
      </c>
      <c r="AC6" s="245"/>
    </row>
    <row r="7" spans="1:29" ht="18.75" x14ac:dyDescent="0.3">
      <c r="A7" s="272" t="s">
        <v>206</v>
      </c>
      <c r="C7" s="237">
        <v>943186.47</v>
      </c>
      <c r="D7" s="237"/>
      <c r="E7" s="237">
        <v>581346.47</v>
      </c>
      <c r="F7" s="237"/>
      <c r="G7" s="237">
        <v>1305026.47</v>
      </c>
      <c r="H7" s="237"/>
      <c r="I7" s="237">
        <v>943186.47</v>
      </c>
      <c r="J7" s="237"/>
      <c r="K7" s="237">
        <v>943186.47</v>
      </c>
      <c r="L7" s="237"/>
      <c r="M7" s="237">
        <v>943186.47</v>
      </c>
      <c r="N7" s="237"/>
      <c r="O7" s="237">
        <v>931860.47</v>
      </c>
      <c r="P7" s="237"/>
      <c r="Q7" s="237">
        <v>928186.47</v>
      </c>
      <c r="R7" s="237"/>
      <c r="S7" s="237">
        <v>1252650.27</v>
      </c>
      <c r="T7" s="237"/>
      <c r="U7" s="237">
        <v>1032720.87</v>
      </c>
      <c r="V7" s="237"/>
      <c r="W7" s="237">
        <v>1032724.67</v>
      </c>
      <c r="X7" s="237"/>
      <c r="Y7" s="237">
        <v>1083677.67</v>
      </c>
      <c r="Z7" s="237"/>
      <c r="AA7" s="237">
        <f>SUM(C7+E7+G7+I7+K7+M7+O7+Q7+S7+U7+W7+Y7)</f>
        <v>11920939.239999998</v>
      </c>
      <c r="AB7" s="237">
        <f>SUM(AA7/12)</f>
        <v>993411.60333333316</v>
      </c>
      <c r="AC7" s="301"/>
    </row>
    <row r="8" spans="1:29" s="216" customFormat="1" ht="22.5" x14ac:dyDescent="0.45">
      <c r="A8" s="267" t="s">
        <v>32</v>
      </c>
      <c r="B8" s="224"/>
      <c r="C8" s="231">
        <f>SUM(C7)</f>
        <v>943186.47</v>
      </c>
      <c r="D8" s="231"/>
      <c r="E8" s="231">
        <f>SUM(E7)</f>
        <v>581346.47</v>
      </c>
      <c r="F8" s="231"/>
      <c r="G8" s="231">
        <f>SUM(G7)</f>
        <v>1305026.47</v>
      </c>
      <c r="H8" s="231"/>
      <c r="I8" s="231">
        <f>SUM(I7)</f>
        <v>943186.47</v>
      </c>
      <c r="J8" s="231"/>
      <c r="K8" s="231">
        <f>SUM(K7)</f>
        <v>943186.47</v>
      </c>
      <c r="L8" s="231"/>
      <c r="M8" s="231">
        <f>SUM(M7)</f>
        <v>943186.47</v>
      </c>
      <c r="N8" s="231"/>
      <c r="O8" s="231">
        <f>SUM(O7)</f>
        <v>931860.47</v>
      </c>
      <c r="P8" s="231"/>
      <c r="Q8" s="231">
        <f>SUM(Q7)</f>
        <v>928186.47</v>
      </c>
      <c r="R8" s="231"/>
      <c r="S8" s="231">
        <f>SUM(S7)</f>
        <v>1252650.27</v>
      </c>
      <c r="T8" s="231"/>
      <c r="U8" s="231">
        <f>SUM(U7)</f>
        <v>1032720.87</v>
      </c>
      <c r="V8" s="231"/>
      <c r="W8" s="231">
        <f>SUM(W7)</f>
        <v>1032724.67</v>
      </c>
      <c r="X8" s="231"/>
      <c r="Y8" s="231">
        <f>SUM(Y7)</f>
        <v>1083677.67</v>
      </c>
      <c r="Z8" s="231"/>
      <c r="AA8" s="263">
        <f>SUM(C8+E8+G8+I8+K8+M8+O8+Q8+S8+U8+W8+Y8)</f>
        <v>11920939.239999998</v>
      </c>
      <c r="AB8" s="263">
        <f>SUM(AA8/12)</f>
        <v>993411.60333333316</v>
      </c>
      <c r="AC8" s="224"/>
    </row>
    <row r="9" spans="1:29" s="240" customFormat="1" ht="12.75" x14ac:dyDescent="0.2">
      <c r="A9" s="254"/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B9" s="241"/>
      <c r="AC9" s="241"/>
    </row>
    <row r="10" spans="1:29" s="240" customFormat="1" ht="12" customHeight="1" x14ac:dyDescent="0.2">
      <c r="A10" s="254"/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B10" s="241"/>
      <c r="AC10" s="241"/>
    </row>
    <row r="11" spans="1:29" ht="31.5" customHeight="1" x14ac:dyDescent="0.5">
      <c r="A11" s="251"/>
      <c r="B11" s="251"/>
      <c r="C11" s="321" t="s">
        <v>258</v>
      </c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</row>
    <row r="12" spans="1:29" ht="6" customHeight="1" x14ac:dyDescent="0.45">
      <c r="A12" s="214"/>
      <c r="B12" s="214"/>
      <c r="C12" s="214"/>
      <c r="D12" s="214"/>
      <c r="E12" s="214"/>
      <c r="F12" s="214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</row>
    <row r="13" spans="1:29" s="216" customFormat="1" ht="15.75" x14ac:dyDescent="0.3">
      <c r="A13" s="268"/>
      <c r="C13" s="266">
        <v>43831</v>
      </c>
      <c r="D13" s="224"/>
      <c r="E13" s="266">
        <v>43862</v>
      </c>
      <c r="F13" s="224"/>
      <c r="G13" s="266">
        <v>43891</v>
      </c>
      <c r="H13" s="224"/>
      <c r="I13" s="266">
        <v>43922</v>
      </c>
      <c r="K13" s="266">
        <v>43952</v>
      </c>
      <c r="M13" s="266">
        <v>43983</v>
      </c>
      <c r="O13" s="266">
        <v>44013</v>
      </c>
      <c r="Q13" s="266">
        <v>44044</v>
      </c>
      <c r="S13" s="266">
        <v>44075</v>
      </c>
      <c r="U13" s="266">
        <v>44105</v>
      </c>
      <c r="W13" s="266">
        <v>44136</v>
      </c>
      <c r="Y13" s="266">
        <v>44166</v>
      </c>
      <c r="AA13" s="216" t="s">
        <v>267</v>
      </c>
      <c r="AB13" s="224" t="s">
        <v>260</v>
      </c>
    </row>
    <row r="14" spans="1:29" s="216" customFormat="1" ht="15.75" x14ac:dyDescent="0.3">
      <c r="A14" s="230" t="s">
        <v>266</v>
      </c>
      <c r="C14" s="237">
        <v>485019.37</v>
      </c>
      <c r="D14" s="226"/>
      <c r="E14" s="237">
        <v>506602.77</v>
      </c>
      <c r="F14" s="226"/>
      <c r="G14" s="237">
        <v>496784.73</v>
      </c>
      <c r="H14" s="226"/>
      <c r="I14" s="237">
        <v>524002.45</v>
      </c>
      <c r="J14" s="226"/>
      <c r="K14" s="237">
        <v>537456.52</v>
      </c>
      <c r="L14" s="226"/>
      <c r="M14" s="237">
        <v>528268.5</v>
      </c>
      <c r="N14" s="226"/>
      <c r="O14" s="237">
        <v>540997.67000000004</v>
      </c>
      <c r="P14" s="226"/>
      <c r="Q14" s="237">
        <v>604620.56000000006</v>
      </c>
      <c r="R14" s="226"/>
      <c r="S14" s="237">
        <v>574900.07999999996</v>
      </c>
      <c r="T14" s="226"/>
      <c r="U14" s="237">
        <v>544877.46</v>
      </c>
      <c r="V14" s="226"/>
      <c r="W14" s="237">
        <v>578139.05000000005</v>
      </c>
      <c r="X14" s="226"/>
      <c r="Y14" s="237">
        <v>506084.43</v>
      </c>
      <c r="Z14" s="226"/>
      <c r="AA14" s="222">
        <f t="shared" ref="AA14" si="0">SUM(C14+E14+G14+I14+K14+M14+O14+Q14+S14+U14+W14+Y14)</f>
        <v>6427753.5899999999</v>
      </c>
      <c r="AB14" s="222">
        <f>SUM(AA14/12)</f>
        <v>535646.13249999995</v>
      </c>
    </row>
    <row r="15" spans="1:29" s="216" customFormat="1" ht="15.75" x14ac:dyDescent="0.3">
      <c r="A15" s="230" t="s">
        <v>254</v>
      </c>
      <c r="C15" s="237">
        <v>0</v>
      </c>
      <c r="D15" s="226"/>
      <c r="E15" s="237">
        <v>0</v>
      </c>
      <c r="F15" s="226"/>
      <c r="G15" s="237">
        <v>0</v>
      </c>
      <c r="H15" s="226"/>
      <c r="I15" s="237">
        <v>0</v>
      </c>
      <c r="J15" s="226"/>
      <c r="K15" s="237">
        <v>0</v>
      </c>
      <c r="L15" s="226"/>
      <c r="M15" s="237">
        <v>0</v>
      </c>
      <c r="N15" s="226"/>
      <c r="O15" s="237">
        <v>0</v>
      </c>
      <c r="P15" s="226"/>
      <c r="Q15" s="237">
        <v>0</v>
      </c>
      <c r="R15" s="226"/>
      <c r="S15" s="237">
        <v>0</v>
      </c>
      <c r="T15" s="226"/>
      <c r="U15" s="237">
        <v>0</v>
      </c>
      <c r="V15" s="226"/>
      <c r="W15" s="237">
        <v>0</v>
      </c>
      <c r="X15" s="226"/>
      <c r="Y15" s="237">
        <v>0</v>
      </c>
      <c r="Z15" s="226"/>
      <c r="AA15" s="222">
        <f>SUM(C15+E15+G15+I15+K15+M15+O15+Q15+S15+U15+W15+Y15)</f>
        <v>0</v>
      </c>
      <c r="AB15" s="222">
        <f>SUM(AA15/12)</f>
        <v>0</v>
      </c>
    </row>
    <row r="16" spans="1:29" s="216" customFormat="1" ht="15.75" x14ac:dyDescent="0.3">
      <c r="A16" s="230" t="s">
        <v>72</v>
      </c>
      <c r="C16" s="237">
        <v>41061.11</v>
      </c>
      <c r="D16" s="226"/>
      <c r="E16" s="237">
        <v>48192.86</v>
      </c>
      <c r="F16" s="226"/>
      <c r="G16" s="237">
        <v>37730.660000000003</v>
      </c>
      <c r="H16" s="226"/>
      <c r="I16" s="237">
        <v>50063.57</v>
      </c>
      <c r="J16" s="226"/>
      <c r="K16" s="237">
        <v>51280.03</v>
      </c>
      <c r="L16" s="226"/>
      <c r="M16" s="237">
        <v>40319.01</v>
      </c>
      <c r="N16" s="226"/>
      <c r="O16" s="237">
        <v>51389.85</v>
      </c>
      <c r="P16" s="226"/>
      <c r="Q16" s="237">
        <v>39638.11</v>
      </c>
      <c r="R16" s="226"/>
      <c r="S16" s="237">
        <v>45536.55</v>
      </c>
      <c r="T16" s="226"/>
      <c r="U16" s="237">
        <v>45835.7</v>
      </c>
      <c r="V16" s="226"/>
      <c r="W16" s="237">
        <v>49195.03</v>
      </c>
      <c r="X16" s="226"/>
      <c r="Y16" s="237">
        <v>41636.03</v>
      </c>
      <c r="Z16" s="226"/>
      <c r="AA16" s="222">
        <f t="shared" ref="AA16:AA26" si="1">SUM(C16+E16+G16+I16+K16+M16+O16+Q16+S16+U16+W16+Y16)</f>
        <v>541878.51</v>
      </c>
      <c r="AB16" s="222">
        <f t="shared" ref="AB16:AB26" si="2">SUM(AA16/12)</f>
        <v>45156.542500000003</v>
      </c>
    </row>
    <row r="17" spans="1:29" s="216" customFormat="1" ht="15.75" x14ac:dyDescent="0.3">
      <c r="A17" s="230"/>
      <c r="C17" s="237">
        <v>0</v>
      </c>
      <c r="D17" s="226"/>
      <c r="E17" s="237">
        <v>0</v>
      </c>
      <c r="F17" s="226"/>
      <c r="G17" s="237">
        <v>0</v>
      </c>
      <c r="H17" s="226"/>
      <c r="I17" s="237">
        <v>0</v>
      </c>
      <c r="J17" s="226"/>
      <c r="K17" s="237">
        <v>0</v>
      </c>
      <c r="L17" s="226"/>
      <c r="M17" s="237">
        <v>0</v>
      </c>
      <c r="N17" s="226"/>
      <c r="O17" s="237">
        <v>0</v>
      </c>
      <c r="P17" s="226"/>
      <c r="Q17" s="237">
        <v>0</v>
      </c>
      <c r="R17" s="226"/>
      <c r="S17" s="237">
        <v>0</v>
      </c>
      <c r="T17" s="226"/>
      <c r="U17" s="237">
        <v>0</v>
      </c>
      <c r="V17" s="226"/>
      <c r="W17" s="237">
        <v>0</v>
      </c>
      <c r="X17" s="226"/>
      <c r="Y17" s="237">
        <v>0</v>
      </c>
      <c r="Z17" s="226"/>
      <c r="AA17" s="222">
        <f t="shared" si="1"/>
        <v>0</v>
      </c>
      <c r="AB17" s="222">
        <f t="shared" si="2"/>
        <v>0</v>
      </c>
    </row>
    <row r="18" spans="1:29" s="216" customFormat="1" ht="15.75" x14ac:dyDescent="0.3">
      <c r="A18" s="230"/>
      <c r="C18" s="237">
        <v>0</v>
      </c>
      <c r="D18" s="226"/>
      <c r="E18" s="237">
        <v>0</v>
      </c>
      <c r="F18" s="226"/>
      <c r="G18" s="237">
        <v>0</v>
      </c>
      <c r="H18" s="226"/>
      <c r="I18" s="237">
        <v>0</v>
      </c>
      <c r="J18" s="226"/>
      <c r="K18" s="237">
        <v>0</v>
      </c>
      <c r="L18" s="226"/>
      <c r="M18" s="237">
        <v>0</v>
      </c>
      <c r="N18" s="226"/>
      <c r="O18" s="237">
        <v>0</v>
      </c>
      <c r="P18" s="226"/>
      <c r="Q18" s="237">
        <v>0</v>
      </c>
      <c r="R18" s="226"/>
      <c r="S18" s="237">
        <v>0</v>
      </c>
      <c r="T18" s="226"/>
      <c r="U18" s="237">
        <v>0</v>
      </c>
      <c r="V18" s="226"/>
      <c r="W18" s="237">
        <v>0</v>
      </c>
      <c r="X18" s="226"/>
      <c r="Y18" s="237">
        <v>0</v>
      </c>
      <c r="Z18" s="226"/>
      <c r="AA18" s="222">
        <f t="shared" si="1"/>
        <v>0</v>
      </c>
      <c r="AB18" s="222">
        <f t="shared" si="2"/>
        <v>0</v>
      </c>
    </row>
    <row r="19" spans="1:29" s="216" customFormat="1" ht="15.75" x14ac:dyDescent="0.3">
      <c r="A19" s="230"/>
      <c r="C19" s="237">
        <v>0</v>
      </c>
      <c r="D19" s="226"/>
      <c r="E19" s="237">
        <v>0</v>
      </c>
      <c r="F19" s="226"/>
      <c r="G19" s="237">
        <v>0</v>
      </c>
      <c r="H19" s="226"/>
      <c r="I19" s="237">
        <v>0</v>
      </c>
      <c r="J19" s="226"/>
      <c r="K19" s="237">
        <v>0</v>
      </c>
      <c r="L19" s="226"/>
      <c r="M19" s="237">
        <v>0</v>
      </c>
      <c r="N19" s="226"/>
      <c r="O19" s="237">
        <v>0</v>
      </c>
      <c r="P19" s="226"/>
      <c r="Q19" s="237">
        <v>0</v>
      </c>
      <c r="R19" s="226"/>
      <c r="S19" s="237">
        <v>0</v>
      </c>
      <c r="T19" s="226"/>
      <c r="U19" s="237">
        <v>0</v>
      </c>
      <c r="V19" s="226"/>
      <c r="W19" s="237">
        <v>0</v>
      </c>
      <c r="X19" s="226"/>
      <c r="Y19" s="237">
        <v>0</v>
      </c>
      <c r="Z19" s="226"/>
      <c r="AA19" s="222">
        <f t="shared" si="1"/>
        <v>0</v>
      </c>
      <c r="AB19" s="222">
        <f t="shared" si="2"/>
        <v>0</v>
      </c>
    </row>
    <row r="20" spans="1:29" s="216" customFormat="1" ht="15.75" x14ac:dyDescent="0.3">
      <c r="A20" s="230"/>
      <c r="C20" s="237">
        <v>0</v>
      </c>
      <c r="D20" s="226"/>
      <c r="E20" s="237">
        <v>0</v>
      </c>
      <c r="F20" s="226"/>
      <c r="G20" s="237">
        <v>0</v>
      </c>
      <c r="H20" s="226"/>
      <c r="I20" s="237">
        <v>0</v>
      </c>
      <c r="J20" s="226"/>
      <c r="K20" s="237">
        <v>0</v>
      </c>
      <c r="L20" s="226"/>
      <c r="M20" s="237">
        <v>0</v>
      </c>
      <c r="N20" s="226"/>
      <c r="O20" s="237">
        <v>0</v>
      </c>
      <c r="P20" s="226"/>
      <c r="Q20" s="237">
        <v>0</v>
      </c>
      <c r="R20" s="226"/>
      <c r="S20" s="237">
        <v>0</v>
      </c>
      <c r="T20" s="226"/>
      <c r="U20" s="237">
        <v>0</v>
      </c>
      <c r="V20" s="226"/>
      <c r="W20" s="237">
        <v>0</v>
      </c>
      <c r="X20" s="226"/>
      <c r="Y20" s="237">
        <v>0</v>
      </c>
      <c r="Z20" s="226"/>
      <c r="AA20" s="222">
        <f t="shared" si="1"/>
        <v>0</v>
      </c>
      <c r="AB20" s="222">
        <f t="shared" si="2"/>
        <v>0</v>
      </c>
    </row>
    <row r="21" spans="1:29" s="216" customFormat="1" ht="15.75" x14ac:dyDescent="0.3">
      <c r="A21" s="230"/>
      <c r="C21" s="237">
        <v>0</v>
      </c>
      <c r="D21" s="226"/>
      <c r="E21" s="237">
        <v>0</v>
      </c>
      <c r="F21" s="226"/>
      <c r="G21" s="237">
        <v>0</v>
      </c>
      <c r="H21" s="226"/>
      <c r="I21" s="237">
        <v>0</v>
      </c>
      <c r="J21" s="226"/>
      <c r="K21" s="237">
        <v>0</v>
      </c>
      <c r="L21" s="226"/>
      <c r="M21" s="237">
        <v>0</v>
      </c>
      <c r="N21" s="226"/>
      <c r="O21" s="237">
        <v>0</v>
      </c>
      <c r="P21" s="226"/>
      <c r="Q21" s="237">
        <v>0</v>
      </c>
      <c r="R21" s="226"/>
      <c r="S21" s="237">
        <v>0</v>
      </c>
      <c r="T21" s="226"/>
      <c r="U21" s="237">
        <v>0</v>
      </c>
      <c r="V21" s="226"/>
      <c r="W21" s="237">
        <v>0</v>
      </c>
      <c r="X21" s="226"/>
      <c r="Y21" s="237">
        <v>0</v>
      </c>
      <c r="Z21" s="226"/>
      <c r="AA21" s="222">
        <f t="shared" si="1"/>
        <v>0</v>
      </c>
      <c r="AB21" s="222">
        <f t="shared" si="2"/>
        <v>0</v>
      </c>
    </row>
    <row r="22" spans="1:29" s="216" customFormat="1" ht="15.75" x14ac:dyDescent="0.3">
      <c r="A22" s="230"/>
      <c r="C22" s="237">
        <v>0</v>
      </c>
      <c r="D22" s="226"/>
      <c r="E22" s="237">
        <v>0</v>
      </c>
      <c r="F22" s="226"/>
      <c r="G22" s="237">
        <v>0</v>
      </c>
      <c r="H22" s="226"/>
      <c r="I22" s="237">
        <v>0</v>
      </c>
      <c r="J22" s="226"/>
      <c r="K22" s="237">
        <v>0</v>
      </c>
      <c r="L22" s="226"/>
      <c r="M22" s="237">
        <v>0</v>
      </c>
      <c r="N22" s="226"/>
      <c r="O22" s="237">
        <v>0</v>
      </c>
      <c r="P22" s="226"/>
      <c r="Q22" s="237">
        <v>0</v>
      </c>
      <c r="R22" s="226"/>
      <c r="S22" s="237">
        <v>0</v>
      </c>
      <c r="T22" s="226"/>
      <c r="U22" s="237">
        <v>0</v>
      </c>
      <c r="V22" s="226"/>
      <c r="W22" s="237">
        <v>0</v>
      </c>
      <c r="X22" s="226"/>
      <c r="Y22" s="237">
        <v>0</v>
      </c>
      <c r="Z22" s="226"/>
      <c r="AA22" s="222">
        <f t="shared" si="1"/>
        <v>0</v>
      </c>
      <c r="AB22" s="222">
        <f t="shared" si="2"/>
        <v>0</v>
      </c>
    </row>
    <row r="23" spans="1:29" s="216" customFormat="1" ht="15.75" x14ac:dyDescent="0.3">
      <c r="A23" s="230"/>
      <c r="C23" s="237">
        <v>0</v>
      </c>
      <c r="D23" s="226"/>
      <c r="E23" s="237">
        <v>0</v>
      </c>
      <c r="F23" s="226"/>
      <c r="G23" s="237">
        <v>0</v>
      </c>
      <c r="H23" s="226"/>
      <c r="I23" s="237">
        <v>0</v>
      </c>
      <c r="J23" s="226"/>
      <c r="K23" s="237">
        <v>0</v>
      </c>
      <c r="L23" s="226"/>
      <c r="M23" s="237">
        <v>0</v>
      </c>
      <c r="N23" s="226"/>
      <c r="O23" s="237">
        <v>0</v>
      </c>
      <c r="P23" s="226"/>
      <c r="Q23" s="237">
        <v>0</v>
      </c>
      <c r="R23" s="226"/>
      <c r="S23" s="237">
        <v>0</v>
      </c>
      <c r="T23" s="226"/>
      <c r="U23" s="237">
        <v>0</v>
      </c>
      <c r="V23" s="226"/>
      <c r="W23" s="237">
        <v>0</v>
      </c>
      <c r="X23" s="226"/>
      <c r="Y23" s="237">
        <v>0</v>
      </c>
      <c r="Z23" s="226"/>
      <c r="AA23" s="222">
        <f t="shared" si="1"/>
        <v>0</v>
      </c>
      <c r="AB23" s="222">
        <f t="shared" si="2"/>
        <v>0</v>
      </c>
    </row>
    <row r="24" spans="1:29" s="216" customFormat="1" ht="15.75" x14ac:dyDescent="0.3">
      <c r="A24" s="230"/>
      <c r="C24" s="237">
        <v>0</v>
      </c>
      <c r="D24" s="226"/>
      <c r="E24" s="237">
        <v>0</v>
      </c>
      <c r="F24" s="226"/>
      <c r="G24" s="237">
        <v>0</v>
      </c>
      <c r="H24" s="226"/>
      <c r="I24" s="237">
        <v>0</v>
      </c>
      <c r="J24" s="226"/>
      <c r="K24" s="237">
        <v>0</v>
      </c>
      <c r="L24" s="226"/>
      <c r="M24" s="237">
        <v>0</v>
      </c>
      <c r="N24" s="226"/>
      <c r="O24" s="237">
        <v>0</v>
      </c>
      <c r="P24" s="226"/>
      <c r="Q24" s="237">
        <v>0</v>
      </c>
      <c r="R24" s="226"/>
      <c r="S24" s="237">
        <v>0</v>
      </c>
      <c r="T24" s="226"/>
      <c r="U24" s="237">
        <v>0</v>
      </c>
      <c r="V24" s="226"/>
      <c r="W24" s="237">
        <v>0</v>
      </c>
      <c r="X24" s="226"/>
      <c r="Y24" s="237">
        <v>0</v>
      </c>
      <c r="Z24" s="226"/>
      <c r="AA24" s="222">
        <f t="shared" si="1"/>
        <v>0</v>
      </c>
      <c r="AB24" s="222">
        <f t="shared" si="2"/>
        <v>0</v>
      </c>
    </row>
    <row r="25" spans="1:29" s="216" customFormat="1" ht="15.75" x14ac:dyDescent="0.3">
      <c r="A25" s="230"/>
      <c r="C25" s="237">
        <v>0</v>
      </c>
      <c r="D25" s="226"/>
      <c r="E25" s="237">
        <v>0</v>
      </c>
      <c r="F25" s="226"/>
      <c r="G25" s="237">
        <v>0</v>
      </c>
      <c r="H25" s="226"/>
      <c r="I25" s="237">
        <v>0</v>
      </c>
      <c r="J25" s="226"/>
      <c r="K25" s="237">
        <v>0</v>
      </c>
      <c r="L25" s="226"/>
      <c r="M25" s="237">
        <v>0</v>
      </c>
      <c r="N25" s="226"/>
      <c r="O25" s="237">
        <v>0</v>
      </c>
      <c r="P25" s="226"/>
      <c r="Q25" s="237">
        <v>0</v>
      </c>
      <c r="R25" s="226"/>
      <c r="S25" s="237">
        <v>0</v>
      </c>
      <c r="T25" s="226"/>
      <c r="U25" s="237">
        <v>0</v>
      </c>
      <c r="V25" s="226"/>
      <c r="W25" s="237">
        <v>0</v>
      </c>
      <c r="X25" s="226"/>
      <c r="Y25" s="237">
        <v>0</v>
      </c>
      <c r="Z25" s="226"/>
      <c r="AA25" s="222">
        <f t="shared" si="1"/>
        <v>0</v>
      </c>
      <c r="AB25" s="222">
        <f t="shared" si="2"/>
        <v>0</v>
      </c>
    </row>
    <row r="26" spans="1:29" s="216" customFormat="1" ht="15.75" x14ac:dyDescent="0.3">
      <c r="A26" s="230"/>
      <c r="C26" s="237">
        <v>0</v>
      </c>
      <c r="D26" s="226"/>
      <c r="E26" s="237">
        <v>0</v>
      </c>
      <c r="F26" s="226"/>
      <c r="G26" s="237">
        <v>0</v>
      </c>
      <c r="H26" s="226"/>
      <c r="I26" s="237">
        <v>0</v>
      </c>
      <c r="J26" s="226"/>
      <c r="K26" s="237">
        <v>0</v>
      </c>
      <c r="L26" s="226"/>
      <c r="M26" s="237">
        <v>0</v>
      </c>
      <c r="N26" s="226"/>
      <c r="O26" s="237">
        <v>0</v>
      </c>
      <c r="P26" s="226"/>
      <c r="Q26" s="237">
        <v>0</v>
      </c>
      <c r="R26" s="226"/>
      <c r="S26" s="237">
        <v>0</v>
      </c>
      <c r="T26" s="226"/>
      <c r="U26" s="237">
        <v>0</v>
      </c>
      <c r="V26" s="226"/>
      <c r="W26" s="237">
        <v>0</v>
      </c>
      <c r="X26" s="226"/>
      <c r="Y26" s="237">
        <v>0</v>
      </c>
      <c r="Z26" s="226"/>
      <c r="AA26" s="222">
        <f t="shared" si="1"/>
        <v>0</v>
      </c>
      <c r="AB26" s="222">
        <f t="shared" si="2"/>
        <v>0</v>
      </c>
    </row>
    <row r="27" spans="1:29" s="216" customFormat="1" ht="15.75" x14ac:dyDescent="0.3">
      <c r="A27" s="250" t="s">
        <v>32</v>
      </c>
      <c r="B27" s="224"/>
      <c r="C27" s="231">
        <f>SUM(C14:C26)</f>
        <v>526080.48</v>
      </c>
      <c r="E27" s="231">
        <f>SUM(E14:E26)</f>
        <v>554795.63</v>
      </c>
      <c r="G27" s="231">
        <f>SUM(G14:G26)</f>
        <v>534515.39</v>
      </c>
      <c r="I27" s="231">
        <f>SUM(I14:I26)</f>
        <v>574066.02</v>
      </c>
      <c r="K27" s="231">
        <f>SUM(K14:K26)</f>
        <v>588736.55000000005</v>
      </c>
      <c r="M27" s="231">
        <f>SUM(M14:M26)</f>
        <v>568587.51</v>
      </c>
      <c r="O27" s="231">
        <f>SUM(O14:O26)</f>
        <v>592387.52</v>
      </c>
      <c r="Q27" s="231">
        <f>SUM(Q14:Q26)</f>
        <v>644258.67000000004</v>
      </c>
      <c r="S27" s="231">
        <f>SUM(S14:S26)</f>
        <v>620436.63</v>
      </c>
      <c r="U27" s="231">
        <f>SUM(U14:U26)</f>
        <v>590713.15999999992</v>
      </c>
      <c r="W27" s="231">
        <f>SUM(W14:W26)</f>
        <v>627334.08000000007</v>
      </c>
      <c r="Y27" s="231">
        <f>SUM(Y14:Y26)</f>
        <v>547720.46</v>
      </c>
      <c r="AA27" s="271">
        <f>SUM(AA14:AA26)</f>
        <v>6969632.0999999996</v>
      </c>
      <c r="AB27" s="271">
        <f>SUM(AB14:AB26)</f>
        <v>580802.67499999993</v>
      </c>
    </row>
    <row r="28" spans="1:29" x14ac:dyDescent="0.25">
      <c r="AB28" s="301"/>
      <c r="AC28" s="301"/>
    </row>
    <row r="29" spans="1:29" ht="10.5" customHeight="1" x14ac:dyDescent="0.35">
      <c r="A29" s="269"/>
      <c r="AB29" s="301"/>
      <c r="AC29" s="301"/>
    </row>
    <row r="30" spans="1:29" ht="18.75" x14ac:dyDescent="0.3">
      <c r="A30" s="272" t="s">
        <v>206</v>
      </c>
      <c r="C30" s="237">
        <f>SUM(C7)</f>
        <v>943186.47</v>
      </c>
      <c r="D30" s="237"/>
      <c r="E30" s="237">
        <f>SUM(E7)</f>
        <v>581346.47</v>
      </c>
      <c r="F30" s="237"/>
      <c r="G30" s="237">
        <f>SUM(G7)</f>
        <v>1305026.47</v>
      </c>
      <c r="H30" s="237"/>
      <c r="I30" s="237">
        <f>SUM(I7)</f>
        <v>943186.47</v>
      </c>
      <c r="J30" s="237"/>
      <c r="K30" s="237">
        <f>SUM(K7)</f>
        <v>943186.47</v>
      </c>
      <c r="L30" s="237"/>
      <c r="M30" s="237">
        <f>SUM(M7)</f>
        <v>943186.47</v>
      </c>
      <c r="N30" s="237"/>
      <c r="O30" s="237">
        <f>SUM(O7)</f>
        <v>931860.47</v>
      </c>
      <c r="P30" s="237"/>
      <c r="Q30" s="237">
        <f>SUM(Q7)</f>
        <v>928186.47</v>
      </c>
      <c r="R30" s="237"/>
      <c r="S30" s="237">
        <f>SUM(S7)</f>
        <v>1252650.27</v>
      </c>
      <c r="T30" s="237"/>
      <c r="U30" s="237">
        <f>SUM(U7)</f>
        <v>1032720.87</v>
      </c>
      <c r="V30" s="237"/>
      <c r="W30" s="237">
        <f>SUM(W7)</f>
        <v>1032724.67</v>
      </c>
      <c r="X30" s="237"/>
      <c r="Y30" s="237">
        <f>SUM(Y7)</f>
        <v>1083677.67</v>
      </c>
      <c r="Z30" s="237"/>
      <c r="AA30" s="237">
        <f>SUM(C30+E30+G30+I30+K30+M30+O30+Q30+S30+U30+W30+Y30)</f>
        <v>11920939.239999998</v>
      </c>
      <c r="AB30" s="237">
        <f>SUM(AA30/12)</f>
        <v>993411.60333333316</v>
      </c>
      <c r="AC30" s="301"/>
    </row>
    <row r="31" spans="1:29" ht="18.75" x14ac:dyDescent="0.3">
      <c r="A31" s="272" t="s">
        <v>231</v>
      </c>
      <c r="B31" s="247"/>
      <c r="C31" s="237">
        <f>SUM(C27)</f>
        <v>526080.48</v>
      </c>
      <c r="D31" s="237"/>
      <c r="E31" s="237">
        <f>SUM(E27)</f>
        <v>554795.63</v>
      </c>
      <c r="F31" s="237"/>
      <c r="G31" s="237">
        <f>SUM(G27)</f>
        <v>534515.39</v>
      </c>
      <c r="H31" s="237"/>
      <c r="I31" s="237">
        <f>SUM(I27)</f>
        <v>574066.02</v>
      </c>
      <c r="J31" s="237"/>
      <c r="K31" s="237">
        <f>SUM(K27)</f>
        <v>588736.55000000005</v>
      </c>
      <c r="L31" s="237"/>
      <c r="M31" s="237">
        <f>SUM(M27)</f>
        <v>568587.51</v>
      </c>
      <c r="N31" s="237"/>
      <c r="O31" s="237">
        <f>SUM(O27)</f>
        <v>592387.52</v>
      </c>
      <c r="P31" s="237"/>
      <c r="Q31" s="237">
        <f>SUM(Q27)</f>
        <v>644258.67000000004</v>
      </c>
      <c r="R31" s="237"/>
      <c r="S31" s="237">
        <f>SUM(S27)</f>
        <v>620436.63</v>
      </c>
      <c r="T31" s="237"/>
      <c r="U31" s="237">
        <f>SUM(U27)</f>
        <v>590713.15999999992</v>
      </c>
      <c r="V31" s="237"/>
      <c r="W31" s="237">
        <f>SUM(W27)</f>
        <v>627334.08000000007</v>
      </c>
      <c r="X31" s="237"/>
      <c r="Y31" s="237">
        <f>SUM(Y27)</f>
        <v>547720.46</v>
      </c>
      <c r="Z31" s="237"/>
      <c r="AA31" s="237">
        <f>SUM(AA27)</f>
        <v>6969632.0999999996</v>
      </c>
      <c r="AB31" s="237">
        <f>SUM(AB27)</f>
        <v>580802.67499999993</v>
      </c>
      <c r="AC31" s="247"/>
    </row>
    <row r="32" spans="1:29" s="216" customFormat="1" ht="15.75" x14ac:dyDescent="0.3">
      <c r="A32" s="250" t="s">
        <v>32</v>
      </c>
      <c r="B32" s="224"/>
      <c r="C32" s="249">
        <f>SUM(C30-C31)</f>
        <v>417105.99</v>
      </c>
      <c r="D32" s="249"/>
      <c r="E32" s="249">
        <f>SUM(E30-E31)</f>
        <v>26550.839999999967</v>
      </c>
      <c r="F32" s="249"/>
      <c r="G32" s="249">
        <f>SUM(G30-G31)</f>
        <v>770511.08</v>
      </c>
      <c r="H32" s="249"/>
      <c r="I32" s="249">
        <f>SUM(I30-I31)</f>
        <v>369120.44999999995</v>
      </c>
      <c r="J32" s="249"/>
      <c r="K32" s="249">
        <f>SUM(K30-K31)</f>
        <v>354449.91999999993</v>
      </c>
      <c r="L32" s="249"/>
      <c r="M32" s="249">
        <f>SUM(M30-M31)</f>
        <v>374598.95999999996</v>
      </c>
      <c r="N32" s="249"/>
      <c r="O32" s="249">
        <f>SUM(O30-O31)</f>
        <v>339472.94999999995</v>
      </c>
      <c r="P32" s="249"/>
      <c r="Q32" s="249">
        <f>SUM(Q30-Q31)</f>
        <v>283927.79999999993</v>
      </c>
      <c r="R32" s="249"/>
      <c r="S32" s="249">
        <f>SUM(S30-S31)</f>
        <v>632213.64</v>
      </c>
      <c r="T32" s="249"/>
      <c r="U32" s="249">
        <f>SUM(U30-U31)</f>
        <v>442007.71000000008</v>
      </c>
      <c r="V32" s="249"/>
      <c r="W32" s="249">
        <f>SUM(W30-W31)</f>
        <v>405390.58999999997</v>
      </c>
      <c r="X32" s="249"/>
      <c r="Y32" s="249">
        <f>SUM(Y30-Y31)</f>
        <v>535957.21</v>
      </c>
      <c r="Z32" s="249"/>
      <c r="AA32" s="262">
        <f>SUM(AA30-AA31)</f>
        <v>4951307.1399999987</v>
      </c>
      <c r="AB32" s="261">
        <f>SUM(AB30-AB31)</f>
        <v>412608.92833333323</v>
      </c>
      <c r="AC32" s="224"/>
    </row>
    <row r="33" spans="1:29" x14ac:dyDescent="0.25">
      <c r="AA33" s="256"/>
      <c r="AB33" s="256"/>
      <c r="AC33" s="256"/>
    </row>
    <row r="34" spans="1:29" x14ac:dyDescent="0.25">
      <c r="AA34" s="256"/>
      <c r="AB34" s="256"/>
    </row>
    <row r="40" spans="1:29" s="270" customFormat="1" x14ac:dyDescent="0.25">
      <c r="A40" s="311"/>
      <c r="B40" s="311"/>
      <c r="C40" s="311"/>
      <c r="D40" s="311"/>
      <c r="E40" s="311"/>
      <c r="F40" s="311"/>
      <c r="G40" s="311"/>
      <c r="H40" s="311"/>
      <c r="I40" s="311"/>
      <c r="J40" s="311"/>
      <c r="K40" s="311"/>
      <c r="L40" s="311"/>
      <c r="M40" s="311"/>
      <c r="N40" s="311"/>
      <c r="O40" s="311"/>
      <c r="P40" s="311"/>
      <c r="Q40" s="311"/>
      <c r="R40" s="311"/>
      <c r="S40" s="311"/>
      <c r="T40" s="311"/>
      <c r="U40" s="311"/>
      <c r="V40" s="311"/>
      <c r="W40" s="311"/>
      <c r="X40" s="311"/>
      <c r="Y40" s="311"/>
      <c r="Z40" s="311"/>
      <c r="AA40" s="311"/>
      <c r="AB40" s="226"/>
    </row>
    <row r="41" spans="1:29" s="270" customFormat="1" x14ac:dyDescent="0.25">
      <c r="A41" s="311"/>
      <c r="B41" s="311"/>
      <c r="C41" s="311"/>
      <c r="D41" s="311"/>
      <c r="E41" s="311"/>
      <c r="F41" s="311"/>
      <c r="G41" s="311"/>
      <c r="H41" s="311"/>
      <c r="I41" s="311"/>
      <c r="J41" s="311"/>
      <c r="K41" s="311"/>
      <c r="L41" s="311"/>
      <c r="M41" s="311"/>
      <c r="N41" s="311"/>
      <c r="O41" s="311"/>
      <c r="P41" s="311"/>
      <c r="Q41" s="311"/>
      <c r="R41" s="311"/>
      <c r="S41" s="311"/>
      <c r="T41" s="311"/>
      <c r="U41" s="311"/>
      <c r="V41" s="311"/>
      <c r="W41" s="311"/>
      <c r="X41" s="311"/>
      <c r="Y41" s="311"/>
      <c r="Z41" s="311"/>
      <c r="AA41" s="311"/>
      <c r="AB41" s="226"/>
    </row>
    <row r="42" spans="1:29" s="270" customFormat="1" x14ac:dyDescent="0.25">
      <c r="A42" s="311"/>
      <c r="B42" s="311"/>
      <c r="C42" s="311"/>
      <c r="D42" s="311"/>
      <c r="E42" s="311"/>
      <c r="F42" s="311"/>
      <c r="G42" s="311"/>
      <c r="H42" s="311"/>
      <c r="I42" s="311"/>
      <c r="J42" s="311"/>
      <c r="K42" s="311"/>
      <c r="L42" s="311"/>
      <c r="M42" s="311"/>
      <c r="N42" s="311"/>
      <c r="O42" s="311"/>
      <c r="P42" s="311"/>
      <c r="Q42" s="311"/>
      <c r="R42" s="311"/>
      <c r="S42" s="311"/>
      <c r="T42" s="311"/>
      <c r="U42" s="311"/>
      <c r="V42" s="311"/>
      <c r="W42" s="311"/>
      <c r="X42" s="311"/>
      <c r="Y42" s="311"/>
      <c r="Z42" s="311"/>
      <c r="AA42" s="311"/>
      <c r="AB42" s="226"/>
    </row>
  </sheetData>
  <mergeCells count="10">
    <mergeCell ref="G12:Q12"/>
    <mergeCell ref="A40:AA40"/>
    <mergeCell ref="A41:AA41"/>
    <mergeCell ref="A42:AA42"/>
    <mergeCell ref="A1:AA1"/>
    <mergeCell ref="A2:AA2"/>
    <mergeCell ref="A3:AA3"/>
    <mergeCell ref="A4:AA4"/>
    <mergeCell ref="C5:AB5"/>
    <mergeCell ref="C11:AB11"/>
  </mergeCells>
  <conditionalFormatting sqref="A27">
    <cfRule type="dataBar" priority="34">
      <dataBar>
        <cfvo type="min"/>
        <cfvo type="max"/>
        <color theme="0"/>
      </dataBar>
    </cfRule>
    <cfRule type="dataBar" priority="35">
      <dataBar>
        <cfvo type="min"/>
        <cfvo type="max"/>
        <color theme="0"/>
      </dataBar>
    </cfRule>
  </conditionalFormatting>
  <conditionalFormatting sqref="A27">
    <cfRule type="dataBar" priority="31">
      <dataBar>
        <cfvo type="min"/>
        <cfvo type="max"/>
        <color rgb="FFFF555A"/>
      </dataBar>
    </cfRule>
    <cfRule type="iconSet" priority="32">
      <iconSet iconSet="4TrafficLights">
        <cfvo type="percent" val="0"/>
        <cfvo type="percent" val="25"/>
        <cfvo type="percent" val="50"/>
        <cfvo type="percent" val="75"/>
      </iconSet>
    </cfRule>
    <cfRule type="dataBar" priority="33">
      <dataBar>
        <cfvo type="min"/>
        <cfvo type="max"/>
        <color rgb="FF638EC6"/>
      </dataBar>
    </cfRule>
  </conditionalFormatting>
  <conditionalFormatting sqref="A15:A26">
    <cfRule type="dataBar" priority="24">
      <dataBar>
        <cfvo type="min"/>
        <cfvo type="max"/>
        <color theme="0"/>
      </dataBar>
    </cfRule>
    <cfRule type="dataBar" priority="25">
      <dataBar>
        <cfvo type="min"/>
        <cfvo type="max"/>
        <color theme="0"/>
      </dataBar>
    </cfRule>
  </conditionalFormatting>
  <conditionalFormatting sqref="A15:A26">
    <cfRule type="dataBar" priority="21">
      <dataBar>
        <cfvo type="min"/>
        <cfvo type="max"/>
        <color rgb="FFFF555A"/>
      </dataBar>
    </cfRule>
    <cfRule type="iconSet" priority="22">
      <iconSet iconSet="4TrafficLights">
        <cfvo type="percent" val="0"/>
        <cfvo type="percent" val="25"/>
        <cfvo type="percent" val="50"/>
        <cfvo type="percent" val="75"/>
      </iconSet>
    </cfRule>
    <cfRule type="dataBar" priority="23">
      <dataBar>
        <cfvo type="min"/>
        <cfvo type="max"/>
        <color rgb="FF638EC6"/>
      </dataBar>
    </cfRule>
  </conditionalFormatting>
  <conditionalFormatting sqref="A15:A16">
    <cfRule type="dataBar" priority="29">
      <dataBar>
        <cfvo type="min"/>
        <cfvo type="max"/>
        <color theme="0"/>
      </dataBar>
    </cfRule>
    <cfRule type="dataBar" priority="30">
      <dataBar>
        <cfvo type="min"/>
        <cfvo type="max"/>
        <color theme="0"/>
      </dataBar>
    </cfRule>
  </conditionalFormatting>
  <conditionalFormatting sqref="A15:A16">
    <cfRule type="dataBar" priority="26">
      <dataBar>
        <cfvo type="min"/>
        <cfvo type="max"/>
        <color rgb="FFFF555A"/>
      </dataBar>
    </cfRule>
    <cfRule type="iconSet" priority="27">
      <iconSet iconSet="4TrafficLights">
        <cfvo type="percent" val="0"/>
        <cfvo type="percent" val="25"/>
        <cfvo type="percent" val="50"/>
        <cfvo type="percent" val="75"/>
      </iconSet>
    </cfRule>
    <cfRule type="dataBar" priority="28">
      <dataBar>
        <cfvo type="min"/>
        <cfvo type="max"/>
        <color rgb="FF638EC6"/>
      </dataBar>
    </cfRule>
  </conditionalFormatting>
  <conditionalFormatting sqref="A14">
    <cfRule type="dataBar" priority="19">
      <dataBar>
        <cfvo type="min"/>
        <cfvo type="max"/>
        <color theme="0"/>
      </dataBar>
    </cfRule>
    <cfRule type="dataBar" priority="20">
      <dataBar>
        <cfvo type="min"/>
        <cfvo type="max"/>
        <color theme="0"/>
      </dataBar>
    </cfRule>
  </conditionalFormatting>
  <conditionalFormatting sqref="A14">
    <cfRule type="dataBar" priority="16">
      <dataBar>
        <cfvo type="min"/>
        <cfvo type="max"/>
        <color rgb="FFFF555A"/>
      </dataBar>
    </cfRule>
    <cfRule type="iconSet" priority="17">
      <iconSet iconSet="4TrafficLights">
        <cfvo type="percent" val="0"/>
        <cfvo type="percent" val="25"/>
        <cfvo type="percent" val="50"/>
        <cfvo type="percent" val="75"/>
      </iconSet>
    </cfRule>
    <cfRule type="dataBar" priority="18">
      <dataBar>
        <cfvo type="min"/>
        <cfvo type="max"/>
        <color rgb="FF638EC6"/>
      </dataBar>
    </cfRule>
  </conditionalFormatting>
  <conditionalFormatting sqref="A6">
    <cfRule type="dataBar" priority="11">
      <dataBar>
        <cfvo type="min"/>
        <cfvo type="max"/>
        <color theme="0"/>
      </dataBar>
    </cfRule>
    <cfRule type="dataBar" priority="12">
      <dataBar>
        <cfvo type="min"/>
        <cfvo type="max"/>
        <color theme="0"/>
      </dataBar>
    </cfRule>
  </conditionalFormatting>
  <conditionalFormatting sqref="A6">
    <cfRule type="dataBar" priority="13">
      <dataBar>
        <cfvo type="min"/>
        <cfvo type="max"/>
        <color rgb="FFFF555A"/>
      </dataBar>
    </cfRule>
    <cfRule type="iconSet" priority="14">
      <iconSet iconSet="4TrafficLights">
        <cfvo type="percent" val="0"/>
        <cfvo type="percent" val="25"/>
        <cfvo type="percent" val="50"/>
        <cfvo type="percent" val="75"/>
      </iconSet>
    </cfRule>
    <cfRule type="dataBar" priority="15">
      <dataBar>
        <cfvo type="min"/>
        <cfvo type="max"/>
        <color rgb="FF638EC6"/>
      </dataBar>
    </cfRule>
  </conditionalFormatting>
  <conditionalFormatting sqref="A8">
    <cfRule type="dataBar" priority="9">
      <dataBar>
        <cfvo type="min"/>
        <cfvo type="max"/>
        <color theme="0"/>
      </dataBar>
    </cfRule>
    <cfRule type="dataBar" priority="10">
      <dataBar>
        <cfvo type="min"/>
        <cfvo type="max"/>
        <color theme="0"/>
      </dataBar>
    </cfRule>
  </conditionalFormatting>
  <conditionalFormatting sqref="A8">
    <cfRule type="dataBar" priority="6">
      <dataBar>
        <cfvo type="min"/>
        <cfvo type="max"/>
        <color rgb="FFFF555A"/>
      </dataBar>
    </cfRule>
    <cfRule type="iconSet" priority="7">
      <iconSet iconSet="4TrafficLights">
        <cfvo type="percent" val="0"/>
        <cfvo type="percent" val="25"/>
        <cfvo type="percent" val="50"/>
        <cfvo type="percent" val="75"/>
      </iconSet>
    </cfRule>
    <cfRule type="dataBar" priority="8">
      <dataBar>
        <cfvo type="min"/>
        <cfvo type="max"/>
        <color rgb="FF638EC6"/>
      </dataBar>
    </cfRule>
  </conditionalFormatting>
  <conditionalFormatting sqref="A13">
    <cfRule type="dataBar" priority="36">
      <dataBar>
        <cfvo type="min"/>
        <cfvo type="max"/>
        <color theme="0"/>
      </dataBar>
    </cfRule>
    <cfRule type="dataBar" priority="37">
      <dataBar>
        <cfvo type="min"/>
        <cfvo type="max"/>
        <color theme="0"/>
      </dataBar>
    </cfRule>
  </conditionalFormatting>
  <conditionalFormatting sqref="A13">
    <cfRule type="dataBar" priority="38">
      <dataBar>
        <cfvo type="min"/>
        <cfvo type="max"/>
        <color rgb="FFFF555A"/>
      </dataBar>
    </cfRule>
    <cfRule type="iconSet" priority="39">
      <iconSet iconSet="4TrafficLights">
        <cfvo type="percent" val="0"/>
        <cfvo type="percent" val="25"/>
        <cfvo type="percent" val="50"/>
        <cfvo type="percent" val="75"/>
      </iconSet>
    </cfRule>
    <cfRule type="dataBar" priority="40">
      <dataBar>
        <cfvo type="min"/>
        <cfvo type="max"/>
        <color rgb="FF638EC6"/>
      </dataBar>
    </cfRule>
  </conditionalFormatting>
  <conditionalFormatting sqref="A32">
    <cfRule type="dataBar" priority="4">
      <dataBar>
        <cfvo type="min"/>
        <cfvo type="max"/>
        <color theme="0"/>
      </dataBar>
    </cfRule>
    <cfRule type="dataBar" priority="5">
      <dataBar>
        <cfvo type="min"/>
        <cfvo type="max"/>
        <color theme="0"/>
      </dataBar>
    </cfRule>
  </conditionalFormatting>
  <conditionalFormatting sqref="A32">
    <cfRule type="dataBar" priority="1">
      <dataBar>
        <cfvo type="min"/>
        <cfvo type="max"/>
        <color rgb="FFFF555A"/>
      </dataBar>
    </cfRule>
    <cfRule type="iconSet" priority="2">
      <iconSet iconSet="4TrafficLights">
        <cfvo type="percent" val="0"/>
        <cfvo type="percent" val="25"/>
        <cfvo type="percent" val="50"/>
        <cfvo type="percent" val="75"/>
      </iconSet>
    </cfRule>
    <cfRule type="dataBar" priority="3">
      <dataBar>
        <cfvo type="min"/>
        <cfvo type="max"/>
        <color rgb="FF638EC6"/>
      </dataBar>
    </cfRule>
  </conditionalFormatting>
  <pageMargins left="0" right="0" top="0" bottom="0" header="0.31496062992125984" footer="0.31496062992125984"/>
  <pageSetup paperSize="9" scale="6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00"/>
  </sheetPr>
  <dimension ref="A1:AC42"/>
  <sheetViews>
    <sheetView tabSelected="1" zoomScale="83" zoomScaleNormal="83" workbookViewId="0">
      <selection activeCell="AA16" sqref="AA16"/>
    </sheetView>
  </sheetViews>
  <sheetFormatPr defaultRowHeight="15" x14ac:dyDescent="0.25"/>
  <cols>
    <col min="1" max="1" width="11.140625" style="226" customWidth="1"/>
    <col min="2" max="2" width="0.7109375" style="226" customWidth="1"/>
    <col min="3" max="3" width="16.28515625" style="226" bestFit="1" customWidth="1"/>
    <col min="4" max="4" width="1" style="226" customWidth="1"/>
    <col min="5" max="5" width="16.28515625" style="226" bestFit="1" customWidth="1"/>
    <col min="6" max="6" width="0.85546875" style="226" customWidth="1"/>
    <col min="7" max="7" width="16.28515625" style="226" bestFit="1" customWidth="1"/>
    <col min="8" max="8" width="0.7109375" style="226" customWidth="1"/>
    <col min="9" max="9" width="16.28515625" style="226" bestFit="1" customWidth="1"/>
    <col min="10" max="10" width="0.7109375" style="226" customWidth="1"/>
    <col min="11" max="11" width="16.28515625" style="226" bestFit="1" customWidth="1"/>
    <col min="12" max="12" width="0.7109375" style="226" customWidth="1"/>
    <col min="13" max="13" width="16.28515625" style="226" bestFit="1" customWidth="1"/>
    <col min="14" max="14" width="0.7109375" style="226" customWidth="1"/>
    <col min="15" max="15" width="16.28515625" style="226" bestFit="1" customWidth="1"/>
    <col min="16" max="16" width="0.85546875" style="226" customWidth="1"/>
    <col min="17" max="17" width="16.28515625" style="226" bestFit="1" customWidth="1"/>
    <col min="18" max="18" width="0.85546875" style="226" customWidth="1"/>
    <col min="19" max="19" width="16.28515625" style="226" bestFit="1" customWidth="1"/>
    <col min="20" max="20" width="0.85546875" style="226" customWidth="1"/>
    <col min="21" max="21" width="16.28515625" style="226" bestFit="1" customWidth="1"/>
    <col min="22" max="22" width="0.7109375" style="226" customWidth="1"/>
    <col min="23" max="23" width="16.28515625" style="226" bestFit="1" customWidth="1"/>
    <col min="24" max="24" width="0.5703125" style="226" customWidth="1"/>
    <col min="25" max="25" width="16.28515625" style="226" bestFit="1" customWidth="1"/>
    <col min="26" max="26" width="0.7109375" style="226" customWidth="1"/>
    <col min="27" max="27" width="17.42578125" style="226" customWidth="1"/>
    <col min="28" max="28" width="16" style="226" customWidth="1"/>
    <col min="29" max="16384" width="9.140625" style="226"/>
  </cols>
  <sheetData>
    <row r="1" spans="1:29" ht="30" x14ac:dyDescent="0.4">
      <c r="A1" s="322" t="s">
        <v>284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257"/>
    </row>
    <row r="2" spans="1:29" s="264" customFormat="1" ht="15" customHeight="1" x14ac:dyDescent="0.2">
      <c r="A2" s="323" t="s">
        <v>289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233"/>
    </row>
    <row r="3" spans="1:29" s="264" customFormat="1" ht="15" customHeight="1" x14ac:dyDescent="0.2">
      <c r="A3" s="324" t="s">
        <v>282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258"/>
    </row>
    <row r="4" spans="1:29" s="264" customFormat="1" ht="15" customHeight="1" x14ac:dyDescent="0.2">
      <c r="A4" s="325" t="s">
        <v>290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258"/>
    </row>
    <row r="5" spans="1:29" ht="31.5" customHeight="1" x14ac:dyDescent="0.5">
      <c r="A5" s="251"/>
      <c r="B5" s="251"/>
      <c r="C5" s="321" t="s">
        <v>268</v>
      </c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</row>
    <row r="6" spans="1:29" s="244" customFormat="1" ht="33" customHeight="1" x14ac:dyDescent="0.4">
      <c r="A6" s="265"/>
      <c r="C6" s="266">
        <v>44197</v>
      </c>
      <c r="D6" s="224"/>
      <c r="E6" s="266">
        <v>44228</v>
      </c>
      <c r="F6" s="224"/>
      <c r="G6" s="266">
        <v>44256</v>
      </c>
      <c r="H6" s="224"/>
      <c r="I6" s="266">
        <v>44287</v>
      </c>
      <c r="J6" s="216"/>
      <c r="K6" s="266">
        <v>44317</v>
      </c>
      <c r="L6" s="216"/>
      <c r="M6" s="266">
        <v>44348</v>
      </c>
      <c r="N6" s="216"/>
      <c r="O6" s="266">
        <v>44378</v>
      </c>
      <c r="P6" s="216"/>
      <c r="Q6" s="266">
        <v>44409</v>
      </c>
      <c r="R6" s="216"/>
      <c r="S6" s="266">
        <v>44440</v>
      </c>
      <c r="T6" s="216"/>
      <c r="U6" s="266">
        <v>44470</v>
      </c>
      <c r="V6" s="216"/>
      <c r="W6" s="266">
        <v>44501</v>
      </c>
      <c r="X6" s="216"/>
      <c r="Y6" s="266">
        <v>44531</v>
      </c>
      <c r="AA6" s="216" t="s">
        <v>267</v>
      </c>
      <c r="AB6" s="245" t="s">
        <v>260</v>
      </c>
      <c r="AC6" s="245"/>
    </row>
    <row r="7" spans="1:29" ht="18.75" x14ac:dyDescent="0.3">
      <c r="A7" s="272" t="s">
        <v>206</v>
      </c>
      <c r="C7" s="237">
        <v>2281851.67</v>
      </c>
      <c r="D7" s="237"/>
      <c r="E7" s="237">
        <v>1079002.97</v>
      </c>
      <c r="F7" s="237"/>
      <c r="G7" s="237">
        <v>1369236.07</v>
      </c>
      <c r="H7" s="237"/>
      <c r="I7" s="237">
        <v>1620126.17</v>
      </c>
      <c r="J7" s="237"/>
      <c r="K7" s="237">
        <v>1608186.47</v>
      </c>
      <c r="L7" s="237"/>
      <c r="M7" s="237">
        <v>1661886.47</v>
      </c>
      <c r="N7" s="237"/>
      <c r="O7" s="237">
        <v>1658186.47</v>
      </c>
      <c r="P7" s="237"/>
      <c r="Q7" s="237">
        <v>1658186.47</v>
      </c>
      <c r="R7" s="237"/>
      <c r="S7" s="237">
        <v>1836186.47</v>
      </c>
      <c r="T7" s="237"/>
      <c r="U7" s="237">
        <v>1658186.47</v>
      </c>
      <c r="V7" s="237"/>
      <c r="W7" s="237">
        <v>1658186.47</v>
      </c>
      <c r="X7" s="237"/>
      <c r="Y7" s="237">
        <v>3046711.47</v>
      </c>
      <c r="Z7" s="237"/>
      <c r="AA7" s="237">
        <f>SUM(C7+E7+G7+I7+K7+M7+O7+Q7+S7+U7+W7+Y7)</f>
        <v>21135933.640000001</v>
      </c>
      <c r="AB7" s="237">
        <f>SUM(AA7/12)</f>
        <v>1761327.8033333335</v>
      </c>
      <c r="AC7" s="233"/>
    </row>
    <row r="8" spans="1:29" s="216" customFormat="1" ht="22.5" x14ac:dyDescent="0.45">
      <c r="A8" s="267" t="s">
        <v>32</v>
      </c>
      <c r="B8" s="224"/>
      <c r="C8" s="231">
        <f>SUM(C7)</f>
        <v>2281851.67</v>
      </c>
      <c r="D8" s="231"/>
      <c r="E8" s="231">
        <f>SUM(E7)</f>
        <v>1079002.97</v>
      </c>
      <c r="F8" s="231"/>
      <c r="G8" s="231">
        <f>SUM(G7)</f>
        <v>1369236.07</v>
      </c>
      <c r="H8" s="231"/>
      <c r="I8" s="231">
        <f>SUM(I7)</f>
        <v>1620126.17</v>
      </c>
      <c r="J8" s="231"/>
      <c r="K8" s="231">
        <f>SUM(K7)</f>
        <v>1608186.47</v>
      </c>
      <c r="L8" s="231"/>
      <c r="M8" s="231">
        <f>SUM(M7)</f>
        <v>1661886.47</v>
      </c>
      <c r="N8" s="231"/>
      <c r="O8" s="231">
        <f>SUM(O7)</f>
        <v>1658186.47</v>
      </c>
      <c r="P8" s="231"/>
      <c r="Q8" s="231">
        <f>SUM(Q7)</f>
        <v>1658186.47</v>
      </c>
      <c r="R8" s="231"/>
      <c r="S8" s="231">
        <f>SUM(S7)</f>
        <v>1836186.47</v>
      </c>
      <c r="T8" s="231"/>
      <c r="U8" s="231">
        <f>SUM(U7)</f>
        <v>1658186.47</v>
      </c>
      <c r="V8" s="231"/>
      <c r="W8" s="231">
        <f>SUM(W7)</f>
        <v>1658186.47</v>
      </c>
      <c r="X8" s="231"/>
      <c r="Y8" s="231">
        <f>SUM(Y7)</f>
        <v>3046711.47</v>
      </c>
      <c r="Z8" s="231"/>
      <c r="AA8" s="263">
        <f>SUM(C8+E8+G8+I8+K8+M8+O8+Q8+S8+U8+W8+Y8)</f>
        <v>21135933.640000001</v>
      </c>
      <c r="AB8" s="263">
        <f>SUM(AA8/12)</f>
        <v>1761327.8033333335</v>
      </c>
      <c r="AC8" s="224"/>
    </row>
    <row r="9" spans="1:29" s="240" customFormat="1" ht="12.75" x14ac:dyDescent="0.2">
      <c r="A9" s="254"/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B9" s="241"/>
      <c r="AC9" s="241"/>
    </row>
    <row r="10" spans="1:29" s="240" customFormat="1" ht="12" customHeight="1" x14ac:dyDescent="0.2">
      <c r="A10" s="254"/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B10" s="241"/>
      <c r="AC10" s="241"/>
    </row>
    <row r="11" spans="1:29" ht="31.5" customHeight="1" x14ac:dyDescent="0.5">
      <c r="A11" s="251"/>
      <c r="B11" s="251"/>
      <c r="C11" s="321" t="s">
        <v>258</v>
      </c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</row>
    <row r="12" spans="1:29" ht="6" customHeight="1" x14ac:dyDescent="0.45">
      <c r="A12" s="214"/>
      <c r="B12" s="214"/>
      <c r="C12" s="214"/>
      <c r="D12" s="214"/>
      <c r="E12" s="214"/>
      <c r="F12" s="214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</row>
    <row r="13" spans="1:29" s="216" customFormat="1" ht="15.75" x14ac:dyDescent="0.3">
      <c r="A13" s="268"/>
      <c r="C13" s="266">
        <v>44197</v>
      </c>
      <c r="D13" s="224"/>
      <c r="E13" s="266">
        <v>44228</v>
      </c>
      <c r="F13" s="224"/>
      <c r="G13" s="266">
        <v>44256</v>
      </c>
      <c r="H13" s="224"/>
      <c r="I13" s="266">
        <v>44287</v>
      </c>
      <c r="K13" s="266">
        <v>44317</v>
      </c>
      <c r="M13" s="266">
        <v>44348</v>
      </c>
      <c r="O13" s="266">
        <v>44378</v>
      </c>
      <c r="Q13" s="266">
        <v>44409</v>
      </c>
      <c r="S13" s="266">
        <v>44440</v>
      </c>
      <c r="U13" s="266">
        <v>44470</v>
      </c>
      <c r="W13" s="266">
        <v>44501</v>
      </c>
      <c r="Y13" s="266">
        <v>44531</v>
      </c>
      <c r="AA13" s="216" t="s">
        <v>267</v>
      </c>
      <c r="AB13" s="224" t="s">
        <v>260</v>
      </c>
    </row>
    <row r="14" spans="1:29" s="216" customFormat="1" ht="15.75" x14ac:dyDescent="0.3">
      <c r="A14" s="230" t="s">
        <v>266</v>
      </c>
      <c r="C14" s="237">
        <v>574659.65</v>
      </c>
      <c r="D14" s="226"/>
      <c r="E14" s="237">
        <v>559579.64</v>
      </c>
      <c r="F14" s="226"/>
      <c r="G14" s="237">
        <v>604377.27</v>
      </c>
      <c r="H14" s="226"/>
      <c r="I14" s="237">
        <v>579340.11</v>
      </c>
      <c r="J14" s="226"/>
      <c r="K14" s="237">
        <v>604702.66</v>
      </c>
      <c r="L14" s="226"/>
      <c r="M14" s="237">
        <v>564917.43000000005</v>
      </c>
      <c r="N14" s="226"/>
      <c r="O14" s="237">
        <v>560383.24</v>
      </c>
      <c r="P14" s="226"/>
      <c r="Q14" s="237">
        <v>559023.28</v>
      </c>
      <c r="R14" s="226"/>
      <c r="S14" s="237">
        <v>556673.34</v>
      </c>
      <c r="T14" s="226"/>
      <c r="U14" s="237">
        <v>589754.59</v>
      </c>
      <c r="V14" s="226"/>
      <c r="W14" s="237">
        <v>633324.26</v>
      </c>
      <c r="X14" s="226"/>
      <c r="Y14" s="237">
        <v>619084.62</v>
      </c>
      <c r="Z14" s="226"/>
      <c r="AA14" s="222">
        <f t="shared" ref="AA14" si="0">SUM(C14+E14+G14+I14+K14+M14+O14+Q14+S14+U14+W14+Y14)</f>
        <v>7005820.0899999999</v>
      </c>
      <c r="AB14" s="222">
        <f>SUM(AA14/12)</f>
        <v>583818.34083333332</v>
      </c>
    </row>
    <row r="15" spans="1:29" s="216" customFormat="1" ht="15.75" x14ac:dyDescent="0.3">
      <c r="A15" s="230" t="s">
        <v>254</v>
      </c>
      <c r="C15" s="237">
        <v>0</v>
      </c>
      <c r="D15" s="226"/>
      <c r="E15" s="237">
        <v>0</v>
      </c>
      <c r="F15" s="226"/>
      <c r="G15" s="237">
        <v>0</v>
      </c>
      <c r="H15" s="226"/>
      <c r="I15" s="237">
        <v>0</v>
      </c>
      <c r="J15" s="226"/>
      <c r="K15" s="237">
        <v>0</v>
      </c>
      <c r="L15" s="226"/>
      <c r="M15" s="237">
        <v>0</v>
      </c>
      <c r="N15" s="226"/>
      <c r="O15" s="237">
        <v>0</v>
      </c>
      <c r="P15" s="226"/>
      <c r="Q15" s="237">
        <v>0</v>
      </c>
      <c r="R15" s="226"/>
      <c r="S15" s="237">
        <v>0</v>
      </c>
      <c r="T15" s="226"/>
      <c r="U15" s="237">
        <v>0</v>
      </c>
      <c r="V15" s="226"/>
      <c r="W15" s="237">
        <v>0</v>
      </c>
      <c r="X15" s="226"/>
      <c r="Y15" s="237">
        <v>0</v>
      </c>
      <c r="Z15" s="226"/>
      <c r="AA15" s="222">
        <f>SUM(C15+E15+G15+I15+K15+M15+O15+Q15+S15+U15+W15+Y15)</f>
        <v>0</v>
      </c>
      <c r="AB15" s="222">
        <f>SUM(AA15/12)</f>
        <v>0</v>
      </c>
    </row>
    <row r="16" spans="1:29" s="216" customFormat="1" ht="15.75" x14ac:dyDescent="0.3">
      <c r="A16" s="230" t="s">
        <v>72</v>
      </c>
      <c r="C16" s="237">
        <v>57739.77</v>
      </c>
      <c r="D16" s="226"/>
      <c r="E16" s="237">
        <v>50431.75</v>
      </c>
      <c r="F16" s="226"/>
      <c r="G16" s="237">
        <v>54729.42</v>
      </c>
      <c r="H16" s="226"/>
      <c r="I16" s="237">
        <v>42407.63</v>
      </c>
      <c r="J16" s="226"/>
      <c r="K16" s="237">
        <v>52175.16</v>
      </c>
      <c r="L16" s="226"/>
      <c r="M16" s="237">
        <v>42550.21</v>
      </c>
      <c r="N16" s="226"/>
      <c r="O16" s="237">
        <v>43107.44</v>
      </c>
      <c r="P16" s="226"/>
      <c r="Q16" s="237">
        <v>42496.68</v>
      </c>
      <c r="R16" s="226"/>
      <c r="S16" s="237">
        <v>42025.760000000002</v>
      </c>
      <c r="T16" s="226"/>
      <c r="U16" s="237">
        <v>47102.09</v>
      </c>
      <c r="V16" s="226"/>
      <c r="W16" s="237">
        <v>53089.88</v>
      </c>
      <c r="X16" s="226"/>
      <c r="Y16" s="237">
        <v>50052.81</v>
      </c>
      <c r="Z16" s="226"/>
      <c r="AA16" s="222">
        <f t="shared" ref="AA16:AA26" si="1">SUM(C16+E16+G16+I16+K16+M16+O16+Q16+S16+U16+W16+Y16)</f>
        <v>577908.60000000009</v>
      </c>
      <c r="AB16" s="222">
        <f t="shared" ref="AB16:AB26" si="2">SUM(AA16/12)</f>
        <v>48159.05000000001</v>
      </c>
    </row>
    <row r="17" spans="1:29" s="216" customFormat="1" ht="15.75" x14ac:dyDescent="0.3">
      <c r="A17" s="230"/>
      <c r="C17" s="237">
        <v>0</v>
      </c>
      <c r="D17" s="226"/>
      <c r="E17" s="237">
        <v>0</v>
      </c>
      <c r="F17" s="226"/>
      <c r="G17" s="237">
        <v>0</v>
      </c>
      <c r="H17" s="226"/>
      <c r="I17" s="237">
        <v>0</v>
      </c>
      <c r="J17" s="226"/>
      <c r="K17" s="237">
        <v>0</v>
      </c>
      <c r="L17" s="226"/>
      <c r="M17" s="237">
        <v>0</v>
      </c>
      <c r="N17" s="226"/>
      <c r="O17" s="237">
        <v>0</v>
      </c>
      <c r="P17" s="226"/>
      <c r="Q17" s="237">
        <v>0</v>
      </c>
      <c r="R17" s="226"/>
      <c r="S17" s="237">
        <v>0</v>
      </c>
      <c r="T17" s="226"/>
      <c r="U17" s="237">
        <v>0</v>
      </c>
      <c r="V17" s="226"/>
      <c r="W17" s="237">
        <v>0</v>
      </c>
      <c r="X17" s="226"/>
      <c r="Y17" s="237">
        <v>0</v>
      </c>
      <c r="Z17" s="226"/>
      <c r="AA17" s="222">
        <f t="shared" si="1"/>
        <v>0</v>
      </c>
      <c r="AB17" s="222">
        <f t="shared" si="2"/>
        <v>0</v>
      </c>
    </row>
    <row r="18" spans="1:29" s="216" customFormat="1" ht="15.75" x14ac:dyDescent="0.3">
      <c r="A18" s="230"/>
      <c r="C18" s="237">
        <v>0</v>
      </c>
      <c r="D18" s="226"/>
      <c r="E18" s="237">
        <v>0</v>
      </c>
      <c r="F18" s="226"/>
      <c r="G18" s="237">
        <v>0</v>
      </c>
      <c r="H18" s="226"/>
      <c r="I18" s="237">
        <v>0</v>
      </c>
      <c r="J18" s="226"/>
      <c r="K18" s="237">
        <v>0</v>
      </c>
      <c r="L18" s="226"/>
      <c r="M18" s="237">
        <v>0</v>
      </c>
      <c r="N18" s="226"/>
      <c r="O18" s="237">
        <v>0</v>
      </c>
      <c r="P18" s="226"/>
      <c r="Q18" s="237">
        <v>0</v>
      </c>
      <c r="R18" s="226"/>
      <c r="S18" s="237">
        <v>0</v>
      </c>
      <c r="T18" s="226"/>
      <c r="U18" s="237">
        <v>0</v>
      </c>
      <c r="V18" s="226"/>
      <c r="W18" s="237">
        <v>0</v>
      </c>
      <c r="X18" s="226"/>
      <c r="Y18" s="237">
        <v>0</v>
      </c>
      <c r="Z18" s="226"/>
      <c r="AA18" s="222">
        <f t="shared" si="1"/>
        <v>0</v>
      </c>
      <c r="AB18" s="222">
        <f t="shared" si="2"/>
        <v>0</v>
      </c>
    </row>
    <row r="19" spans="1:29" s="216" customFormat="1" ht="15.75" x14ac:dyDescent="0.3">
      <c r="A19" s="230"/>
      <c r="C19" s="237">
        <v>0</v>
      </c>
      <c r="D19" s="226"/>
      <c r="E19" s="237">
        <v>0</v>
      </c>
      <c r="F19" s="226"/>
      <c r="G19" s="237">
        <v>0</v>
      </c>
      <c r="H19" s="226"/>
      <c r="I19" s="237">
        <v>0</v>
      </c>
      <c r="J19" s="226"/>
      <c r="K19" s="237">
        <v>0</v>
      </c>
      <c r="L19" s="226"/>
      <c r="M19" s="237">
        <v>0</v>
      </c>
      <c r="N19" s="226"/>
      <c r="O19" s="237">
        <v>0</v>
      </c>
      <c r="P19" s="226"/>
      <c r="Q19" s="237">
        <v>0</v>
      </c>
      <c r="R19" s="226"/>
      <c r="S19" s="237">
        <v>0</v>
      </c>
      <c r="T19" s="226"/>
      <c r="U19" s="237">
        <v>0</v>
      </c>
      <c r="V19" s="226"/>
      <c r="W19" s="237">
        <v>0</v>
      </c>
      <c r="X19" s="226"/>
      <c r="Y19" s="237">
        <v>0</v>
      </c>
      <c r="Z19" s="226"/>
      <c r="AA19" s="222">
        <f t="shared" si="1"/>
        <v>0</v>
      </c>
      <c r="AB19" s="222">
        <f t="shared" si="2"/>
        <v>0</v>
      </c>
    </row>
    <row r="20" spans="1:29" s="216" customFormat="1" ht="15.75" x14ac:dyDescent="0.3">
      <c r="A20" s="230"/>
      <c r="C20" s="237">
        <v>0</v>
      </c>
      <c r="D20" s="226"/>
      <c r="E20" s="237">
        <v>0</v>
      </c>
      <c r="F20" s="226"/>
      <c r="G20" s="237">
        <v>0</v>
      </c>
      <c r="H20" s="226"/>
      <c r="I20" s="237">
        <v>0</v>
      </c>
      <c r="J20" s="226"/>
      <c r="K20" s="237">
        <v>0</v>
      </c>
      <c r="L20" s="226"/>
      <c r="M20" s="237">
        <v>0</v>
      </c>
      <c r="N20" s="226"/>
      <c r="O20" s="237">
        <v>0</v>
      </c>
      <c r="P20" s="226"/>
      <c r="Q20" s="237">
        <v>0</v>
      </c>
      <c r="R20" s="226"/>
      <c r="S20" s="237">
        <v>0</v>
      </c>
      <c r="T20" s="226"/>
      <c r="U20" s="237">
        <v>0</v>
      </c>
      <c r="V20" s="226"/>
      <c r="W20" s="237">
        <v>0</v>
      </c>
      <c r="X20" s="226"/>
      <c r="Y20" s="237">
        <v>0</v>
      </c>
      <c r="Z20" s="226"/>
      <c r="AA20" s="222">
        <f t="shared" si="1"/>
        <v>0</v>
      </c>
      <c r="AB20" s="222">
        <f t="shared" si="2"/>
        <v>0</v>
      </c>
    </row>
    <row r="21" spans="1:29" s="216" customFormat="1" ht="15.75" x14ac:dyDescent="0.3">
      <c r="A21" s="230"/>
      <c r="C21" s="237">
        <v>0</v>
      </c>
      <c r="D21" s="226"/>
      <c r="E21" s="237">
        <v>0</v>
      </c>
      <c r="F21" s="226"/>
      <c r="G21" s="237">
        <v>0</v>
      </c>
      <c r="H21" s="226"/>
      <c r="I21" s="237">
        <v>0</v>
      </c>
      <c r="J21" s="226"/>
      <c r="K21" s="237">
        <v>0</v>
      </c>
      <c r="L21" s="226"/>
      <c r="M21" s="237">
        <v>0</v>
      </c>
      <c r="N21" s="226"/>
      <c r="O21" s="237">
        <v>0</v>
      </c>
      <c r="P21" s="226"/>
      <c r="Q21" s="237">
        <v>0</v>
      </c>
      <c r="R21" s="226"/>
      <c r="S21" s="237">
        <v>0</v>
      </c>
      <c r="T21" s="226"/>
      <c r="U21" s="237">
        <v>0</v>
      </c>
      <c r="V21" s="226"/>
      <c r="W21" s="237">
        <v>0</v>
      </c>
      <c r="X21" s="226"/>
      <c r="Y21" s="237">
        <v>0</v>
      </c>
      <c r="Z21" s="226"/>
      <c r="AA21" s="222">
        <f t="shared" si="1"/>
        <v>0</v>
      </c>
      <c r="AB21" s="222">
        <f t="shared" si="2"/>
        <v>0</v>
      </c>
    </row>
    <row r="22" spans="1:29" s="216" customFormat="1" ht="15.75" x14ac:dyDescent="0.3">
      <c r="A22" s="230"/>
      <c r="C22" s="237">
        <v>0</v>
      </c>
      <c r="D22" s="226"/>
      <c r="E22" s="237">
        <v>0</v>
      </c>
      <c r="F22" s="226"/>
      <c r="G22" s="237">
        <v>0</v>
      </c>
      <c r="H22" s="226"/>
      <c r="I22" s="237">
        <v>0</v>
      </c>
      <c r="J22" s="226"/>
      <c r="K22" s="237">
        <v>0</v>
      </c>
      <c r="L22" s="226"/>
      <c r="M22" s="237">
        <v>0</v>
      </c>
      <c r="N22" s="226"/>
      <c r="O22" s="237">
        <v>0</v>
      </c>
      <c r="P22" s="226"/>
      <c r="Q22" s="237">
        <v>0</v>
      </c>
      <c r="R22" s="226"/>
      <c r="S22" s="237">
        <v>0</v>
      </c>
      <c r="T22" s="226"/>
      <c r="U22" s="237">
        <v>0</v>
      </c>
      <c r="V22" s="226"/>
      <c r="W22" s="237">
        <v>0</v>
      </c>
      <c r="X22" s="226"/>
      <c r="Y22" s="237">
        <v>0</v>
      </c>
      <c r="Z22" s="226"/>
      <c r="AA22" s="222">
        <f t="shared" si="1"/>
        <v>0</v>
      </c>
      <c r="AB22" s="222">
        <f t="shared" si="2"/>
        <v>0</v>
      </c>
    </row>
    <row r="23" spans="1:29" s="216" customFormat="1" ht="15.75" x14ac:dyDescent="0.3">
      <c r="A23" s="230"/>
      <c r="C23" s="237">
        <v>0</v>
      </c>
      <c r="D23" s="226"/>
      <c r="E23" s="237">
        <v>0</v>
      </c>
      <c r="F23" s="226"/>
      <c r="G23" s="237">
        <v>0</v>
      </c>
      <c r="H23" s="226"/>
      <c r="I23" s="237">
        <v>0</v>
      </c>
      <c r="J23" s="226"/>
      <c r="K23" s="237">
        <v>0</v>
      </c>
      <c r="L23" s="226"/>
      <c r="M23" s="237">
        <v>0</v>
      </c>
      <c r="N23" s="226"/>
      <c r="O23" s="237">
        <v>0</v>
      </c>
      <c r="P23" s="226"/>
      <c r="Q23" s="237">
        <v>0</v>
      </c>
      <c r="R23" s="226"/>
      <c r="S23" s="237">
        <v>0</v>
      </c>
      <c r="T23" s="226"/>
      <c r="U23" s="237">
        <v>0</v>
      </c>
      <c r="V23" s="226"/>
      <c r="W23" s="237">
        <v>0</v>
      </c>
      <c r="X23" s="226"/>
      <c r="Y23" s="237">
        <v>0</v>
      </c>
      <c r="Z23" s="226"/>
      <c r="AA23" s="222">
        <f t="shared" si="1"/>
        <v>0</v>
      </c>
      <c r="AB23" s="222">
        <f t="shared" si="2"/>
        <v>0</v>
      </c>
    </row>
    <row r="24" spans="1:29" s="216" customFormat="1" ht="15.75" x14ac:dyDescent="0.3">
      <c r="A24" s="230"/>
      <c r="C24" s="237">
        <v>0</v>
      </c>
      <c r="D24" s="226"/>
      <c r="E24" s="237">
        <v>0</v>
      </c>
      <c r="F24" s="226"/>
      <c r="G24" s="237">
        <v>0</v>
      </c>
      <c r="H24" s="226"/>
      <c r="I24" s="237">
        <v>0</v>
      </c>
      <c r="J24" s="226"/>
      <c r="K24" s="237">
        <v>0</v>
      </c>
      <c r="L24" s="226"/>
      <c r="M24" s="237">
        <v>0</v>
      </c>
      <c r="N24" s="226"/>
      <c r="O24" s="237">
        <v>0</v>
      </c>
      <c r="P24" s="226"/>
      <c r="Q24" s="237">
        <v>0</v>
      </c>
      <c r="R24" s="226"/>
      <c r="S24" s="237">
        <v>0</v>
      </c>
      <c r="T24" s="226"/>
      <c r="U24" s="237">
        <v>0</v>
      </c>
      <c r="V24" s="226"/>
      <c r="W24" s="237">
        <v>0</v>
      </c>
      <c r="X24" s="226"/>
      <c r="Y24" s="237">
        <v>0</v>
      </c>
      <c r="Z24" s="226"/>
      <c r="AA24" s="222">
        <f t="shared" si="1"/>
        <v>0</v>
      </c>
      <c r="AB24" s="222">
        <f t="shared" si="2"/>
        <v>0</v>
      </c>
    </row>
    <row r="25" spans="1:29" s="216" customFormat="1" ht="15.75" x14ac:dyDescent="0.3">
      <c r="A25" s="230"/>
      <c r="C25" s="237">
        <v>0</v>
      </c>
      <c r="D25" s="226"/>
      <c r="E25" s="237">
        <v>0</v>
      </c>
      <c r="F25" s="226"/>
      <c r="G25" s="237">
        <v>0</v>
      </c>
      <c r="H25" s="226"/>
      <c r="I25" s="237">
        <v>0</v>
      </c>
      <c r="J25" s="226"/>
      <c r="K25" s="237">
        <v>0</v>
      </c>
      <c r="L25" s="226"/>
      <c r="M25" s="237">
        <v>0</v>
      </c>
      <c r="N25" s="226"/>
      <c r="O25" s="237">
        <v>0</v>
      </c>
      <c r="P25" s="226"/>
      <c r="Q25" s="237">
        <v>0</v>
      </c>
      <c r="R25" s="226"/>
      <c r="S25" s="237">
        <v>0</v>
      </c>
      <c r="T25" s="226"/>
      <c r="U25" s="237">
        <v>0</v>
      </c>
      <c r="V25" s="226"/>
      <c r="W25" s="237">
        <v>0</v>
      </c>
      <c r="X25" s="226"/>
      <c r="Y25" s="237">
        <v>0</v>
      </c>
      <c r="Z25" s="226"/>
      <c r="AA25" s="222">
        <f t="shared" si="1"/>
        <v>0</v>
      </c>
      <c r="AB25" s="222">
        <f t="shared" si="2"/>
        <v>0</v>
      </c>
    </row>
    <row r="26" spans="1:29" s="216" customFormat="1" ht="15.75" x14ac:dyDescent="0.3">
      <c r="A26" s="230"/>
      <c r="C26" s="237">
        <v>0</v>
      </c>
      <c r="D26" s="226"/>
      <c r="E26" s="237">
        <v>0</v>
      </c>
      <c r="F26" s="226"/>
      <c r="G26" s="237">
        <v>0</v>
      </c>
      <c r="H26" s="226"/>
      <c r="I26" s="237">
        <v>0</v>
      </c>
      <c r="J26" s="226"/>
      <c r="K26" s="237">
        <v>0</v>
      </c>
      <c r="L26" s="226"/>
      <c r="M26" s="237">
        <v>0</v>
      </c>
      <c r="N26" s="226"/>
      <c r="O26" s="237">
        <v>0</v>
      </c>
      <c r="P26" s="226"/>
      <c r="Q26" s="237">
        <v>0</v>
      </c>
      <c r="R26" s="226"/>
      <c r="S26" s="237">
        <v>0</v>
      </c>
      <c r="T26" s="226"/>
      <c r="U26" s="237">
        <v>0</v>
      </c>
      <c r="V26" s="226"/>
      <c r="W26" s="237">
        <v>0</v>
      </c>
      <c r="X26" s="226"/>
      <c r="Y26" s="237">
        <v>0</v>
      </c>
      <c r="Z26" s="226"/>
      <c r="AA26" s="222">
        <f t="shared" si="1"/>
        <v>0</v>
      </c>
      <c r="AB26" s="222">
        <f t="shared" si="2"/>
        <v>0</v>
      </c>
    </row>
    <row r="27" spans="1:29" s="216" customFormat="1" ht="15.75" x14ac:dyDescent="0.3">
      <c r="A27" s="250" t="s">
        <v>32</v>
      </c>
      <c r="B27" s="224"/>
      <c r="C27" s="231">
        <f>SUM(C14:C26)</f>
        <v>632399.42000000004</v>
      </c>
      <c r="E27" s="231">
        <f>SUM(E14:E26)</f>
        <v>610011.39</v>
      </c>
      <c r="G27" s="231">
        <f>SUM(G14:G26)</f>
        <v>659106.69000000006</v>
      </c>
      <c r="I27" s="231">
        <f>SUM(I14:I26)</f>
        <v>621747.74</v>
      </c>
      <c r="K27" s="231">
        <f>SUM(K14:K26)</f>
        <v>656877.82000000007</v>
      </c>
      <c r="M27" s="231">
        <f>SUM(M14:M26)</f>
        <v>607467.64</v>
      </c>
      <c r="O27" s="231">
        <f>SUM(O14:O26)</f>
        <v>603490.67999999993</v>
      </c>
      <c r="Q27" s="231">
        <f>SUM(Q14:Q26)</f>
        <v>601519.96000000008</v>
      </c>
      <c r="S27" s="231">
        <f>SUM(S14:S26)</f>
        <v>598699.1</v>
      </c>
      <c r="U27" s="231">
        <f>SUM(U14:U26)</f>
        <v>636856.67999999993</v>
      </c>
      <c r="W27" s="231">
        <f>SUM(W14:W26)</f>
        <v>686414.14</v>
      </c>
      <c r="Y27" s="231">
        <f>SUM(Y14:Y26)</f>
        <v>669137.42999999993</v>
      </c>
      <c r="AA27" s="271">
        <f>SUM(AA14:AA26)</f>
        <v>7583728.6899999995</v>
      </c>
      <c r="AB27" s="271">
        <f>SUM(AB14:AB26)</f>
        <v>631977.39083333337</v>
      </c>
    </row>
    <row r="28" spans="1:29" x14ac:dyDescent="0.25">
      <c r="AB28" s="233"/>
      <c r="AC28" s="233"/>
    </row>
    <row r="29" spans="1:29" ht="10.5" customHeight="1" x14ac:dyDescent="0.35">
      <c r="A29" s="269"/>
      <c r="AB29" s="233"/>
      <c r="AC29" s="233"/>
    </row>
    <row r="30" spans="1:29" ht="18.75" x14ac:dyDescent="0.3">
      <c r="A30" s="272" t="s">
        <v>206</v>
      </c>
      <c r="C30" s="237">
        <f>SUM(C7)</f>
        <v>2281851.67</v>
      </c>
      <c r="D30" s="237"/>
      <c r="E30" s="237">
        <f>SUM(E7)</f>
        <v>1079002.97</v>
      </c>
      <c r="F30" s="237"/>
      <c r="G30" s="237">
        <f>SUM(G7)</f>
        <v>1369236.07</v>
      </c>
      <c r="H30" s="237"/>
      <c r="I30" s="237">
        <f>SUM(I7)</f>
        <v>1620126.17</v>
      </c>
      <c r="J30" s="237"/>
      <c r="K30" s="237">
        <f>SUM(K7)</f>
        <v>1608186.47</v>
      </c>
      <c r="L30" s="237"/>
      <c r="M30" s="237">
        <f>SUM(M7)</f>
        <v>1661886.47</v>
      </c>
      <c r="N30" s="237"/>
      <c r="O30" s="237">
        <f>SUM(O7)</f>
        <v>1658186.47</v>
      </c>
      <c r="P30" s="237"/>
      <c r="Q30" s="237">
        <f>SUM(Q7)</f>
        <v>1658186.47</v>
      </c>
      <c r="R30" s="237"/>
      <c r="S30" s="237">
        <f>SUM(S7)</f>
        <v>1836186.47</v>
      </c>
      <c r="T30" s="237"/>
      <c r="U30" s="237">
        <f>SUM(U7)</f>
        <v>1658186.47</v>
      </c>
      <c r="V30" s="237"/>
      <c r="W30" s="237">
        <f>SUM(W7)</f>
        <v>1658186.47</v>
      </c>
      <c r="X30" s="237"/>
      <c r="Y30" s="237">
        <f>SUM(Y7)</f>
        <v>3046711.47</v>
      </c>
      <c r="Z30" s="237"/>
      <c r="AA30" s="237">
        <f>SUM(C30+E30+G30+I30+K30+M30+O30+Q30+S30+U30+W30+Y30)</f>
        <v>21135933.640000001</v>
      </c>
      <c r="AB30" s="237">
        <f>SUM(AA30/12)</f>
        <v>1761327.8033333335</v>
      </c>
      <c r="AC30" s="233"/>
    </row>
    <row r="31" spans="1:29" ht="18.75" x14ac:dyDescent="0.3">
      <c r="A31" s="272" t="s">
        <v>231</v>
      </c>
      <c r="B31" s="247"/>
      <c r="C31" s="237">
        <f>SUM(C27)</f>
        <v>632399.42000000004</v>
      </c>
      <c r="D31" s="237"/>
      <c r="E31" s="237">
        <f>SUM(E27)</f>
        <v>610011.39</v>
      </c>
      <c r="F31" s="237"/>
      <c r="G31" s="237">
        <f>SUM(G27)</f>
        <v>659106.69000000006</v>
      </c>
      <c r="H31" s="237"/>
      <c r="I31" s="237">
        <f>SUM(I27)</f>
        <v>621747.74</v>
      </c>
      <c r="J31" s="237"/>
      <c r="K31" s="237">
        <f>SUM(K27)</f>
        <v>656877.82000000007</v>
      </c>
      <c r="L31" s="237"/>
      <c r="M31" s="237">
        <f>SUM(M27)</f>
        <v>607467.64</v>
      </c>
      <c r="N31" s="237"/>
      <c r="O31" s="237">
        <f>SUM(O27)</f>
        <v>603490.67999999993</v>
      </c>
      <c r="P31" s="237"/>
      <c r="Q31" s="237">
        <f>SUM(Q27)</f>
        <v>601519.96000000008</v>
      </c>
      <c r="R31" s="237"/>
      <c r="S31" s="237">
        <f>SUM(S27)</f>
        <v>598699.1</v>
      </c>
      <c r="T31" s="237"/>
      <c r="U31" s="237">
        <f>SUM(U27)</f>
        <v>636856.67999999993</v>
      </c>
      <c r="V31" s="237"/>
      <c r="W31" s="237">
        <f>SUM(W27)</f>
        <v>686414.14</v>
      </c>
      <c r="X31" s="237"/>
      <c r="Y31" s="237">
        <f>SUM(Y27)</f>
        <v>669137.42999999993</v>
      </c>
      <c r="Z31" s="237"/>
      <c r="AA31" s="237">
        <f>SUM(AA27)</f>
        <v>7583728.6899999995</v>
      </c>
      <c r="AB31" s="237">
        <f>SUM(AB27)</f>
        <v>631977.39083333337</v>
      </c>
      <c r="AC31" s="247"/>
    </row>
    <row r="32" spans="1:29" s="216" customFormat="1" ht="15.75" x14ac:dyDescent="0.3">
      <c r="A32" s="250" t="s">
        <v>32</v>
      </c>
      <c r="B32" s="224"/>
      <c r="C32" s="249">
        <f>SUM(C30-C31)</f>
        <v>1649452.25</v>
      </c>
      <c r="D32" s="249"/>
      <c r="E32" s="249">
        <f>SUM(E30-E31)</f>
        <v>468991.57999999996</v>
      </c>
      <c r="F32" s="249"/>
      <c r="G32" s="249">
        <f>SUM(G30-G31)</f>
        <v>710129.38</v>
      </c>
      <c r="H32" s="249"/>
      <c r="I32" s="249">
        <f>SUM(I30-I31)</f>
        <v>998378.42999999993</v>
      </c>
      <c r="J32" s="249"/>
      <c r="K32" s="249">
        <f>SUM(K30-K31)</f>
        <v>951308.64999999991</v>
      </c>
      <c r="L32" s="249"/>
      <c r="M32" s="249">
        <f>SUM(M30-M31)</f>
        <v>1054418.83</v>
      </c>
      <c r="N32" s="249"/>
      <c r="O32" s="249">
        <f>SUM(O30-O31)</f>
        <v>1054695.79</v>
      </c>
      <c r="P32" s="249"/>
      <c r="Q32" s="249">
        <f>SUM(Q30-Q31)</f>
        <v>1056666.5099999998</v>
      </c>
      <c r="R32" s="249"/>
      <c r="S32" s="249">
        <f>SUM(S30-S31)</f>
        <v>1237487.3700000001</v>
      </c>
      <c r="T32" s="249"/>
      <c r="U32" s="249">
        <f>SUM(U30-U31)</f>
        <v>1021329.79</v>
      </c>
      <c r="V32" s="249"/>
      <c r="W32" s="249">
        <f>SUM(W30-W31)</f>
        <v>971772.33</v>
      </c>
      <c r="X32" s="249"/>
      <c r="Y32" s="249">
        <f>SUM(Y30-Y31)</f>
        <v>2377574.04</v>
      </c>
      <c r="Z32" s="249"/>
      <c r="AA32" s="262">
        <f>SUM(AA30-AA31)</f>
        <v>13552204.950000001</v>
      </c>
      <c r="AB32" s="261">
        <f>SUM(AB30-AB31)</f>
        <v>1129350.4125000001</v>
      </c>
      <c r="AC32" s="224"/>
    </row>
    <row r="33" spans="1:29" x14ac:dyDescent="0.25">
      <c r="AA33" s="256"/>
      <c r="AB33" s="256"/>
      <c r="AC33" s="256"/>
    </row>
    <row r="34" spans="1:29" x14ac:dyDescent="0.25">
      <c r="AA34" s="256"/>
      <c r="AB34" s="256"/>
    </row>
    <row r="40" spans="1:29" s="270" customFormat="1" x14ac:dyDescent="0.25">
      <c r="A40" s="311"/>
      <c r="B40" s="311"/>
      <c r="C40" s="311"/>
      <c r="D40" s="311"/>
      <c r="E40" s="311"/>
      <c r="F40" s="311"/>
      <c r="G40" s="311"/>
      <c r="H40" s="311"/>
      <c r="I40" s="311"/>
      <c r="J40" s="311"/>
      <c r="K40" s="311"/>
      <c r="L40" s="311"/>
      <c r="M40" s="311"/>
      <c r="N40" s="311"/>
      <c r="O40" s="311"/>
      <c r="P40" s="311"/>
      <c r="Q40" s="311"/>
      <c r="R40" s="311"/>
      <c r="S40" s="311"/>
      <c r="T40" s="311"/>
      <c r="U40" s="311"/>
      <c r="V40" s="311"/>
      <c r="W40" s="311"/>
      <c r="X40" s="311"/>
      <c r="Y40" s="311"/>
      <c r="Z40" s="311"/>
      <c r="AA40" s="311"/>
      <c r="AB40" s="226"/>
    </row>
    <row r="41" spans="1:29" s="270" customFormat="1" x14ac:dyDescent="0.25">
      <c r="A41" s="311"/>
      <c r="B41" s="311"/>
      <c r="C41" s="311"/>
      <c r="D41" s="311"/>
      <c r="E41" s="311"/>
      <c r="F41" s="311"/>
      <c r="G41" s="311"/>
      <c r="H41" s="311"/>
      <c r="I41" s="311"/>
      <c r="J41" s="311"/>
      <c r="K41" s="311"/>
      <c r="L41" s="311"/>
      <c r="M41" s="311"/>
      <c r="N41" s="311"/>
      <c r="O41" s="311"/>
      <c r="P41" s="311"/>
      <c r="Q41" s="311"/>
      <c r="R41" s="311"/>
      <c r="S41" s="311"/>
      <c r="T41" s="311"/>
      <c r="U41" s="311"/>
      <c r="V41" s="311"/>
      <c r="W41" s="311"/>
      <c r="X41" s="311"/>
      <c r="Y41" s="311"/>
      <c r="Z41" s="311"/>
      <c r="AA41" s="311"/>
      <c r="AB41" s="226"/>
    </row>
    <row r="42" spans="1:29" s="270" customFormat="1" x14ac:dyDescent="0.25">
      <c r="A42" s="311"/>
      <c r="B42" s="311"/>
      <c r="C42" s="311"/>
      <c r="D42" s="311"/>
      <c r="E42" s="311"/>
      <c r="F42" s="311"/>
      <c r="G42" s="311"/>
      <c r="H42" s="311"/>
      <c r="I42" s="311"/>
      <c r="J42" s="311"/>
      <c r="K42" s="311"/>
      <c r="L42" s="311"/>
      <c r="M42" s="311"/>
      <c r="N42" s="311"/>
      <c r="O42" s="311"/>
      <c r="P42" s="311"/>
      <c r="Q42" s="311"/>
      <c r="R42" s="311"/>
      <c r="S42" s="311"/>
      <c r="T42" s="311"/>
      <c r="U42" s="311"/>
      <c r="V42" s="311"/>
      <c r="W42" s="311"/>
      <c r="X42" s="311"/>
      <c r="Y42" s="311"/>
      <c r="Z42" s="311"/>
      <c r="AA42" s="311"/>
      <c r="AB42" s="226"/>
    </row>
  </sheetData>
  <mergeCells count="10">
    <mergeCell ref="A1:AA1"/>
    <mergeCell ref="A2:AA2"/>
    <mergeCell ref="A3:AA3"/>
    <mergeCell ref="A4:AA4"/>
    <mergeCell ref="G12:Q12"/>
    <mergeCell ref="A40:AA40"/>
    <mergeCell ref="A41:AA41"/>
    <mergeCell ref="A42:AA42"/>
    <mergeCell ref="C5:AB5"/>
    <mergeCell ref="C11:AB11"/>
  </mergeCells>
  <conditionalFormatting sqref="A27">
    <cfRule type="dataBar" priority="84">
      <dataBar>
        <cfvo type="min"/>
        <cfvo type="max"/>
        <color theme="0"/>
      </dataBar>
    </cfRule>
    <cfRule type="dataBar" priority="85">
      <dataBar>
        <cfvo type="min"/>
        <cfvo type="max"/>
        <color theme="0"/>
      </dataBar>
    </cfRule>
  </conditionalFormatting>
  <conditionalFormatting sqref="A27">
    <cfRule type="dataBar" priority="81">
      <dataBar>
        <cfvo type="min"/>
        <cfvo type="max"/>
        <color rgb="FFFF555A"/>
      </dataBar>
    </cfRule>
    <cfRule type="iconSet" priority="82">
      <iconSet iconSet="4TrafficLights">
        <cfvo type="percent" val="0"/>
        <cfvo type="percent" val="25"/>
        <cfvo type="percent" val="50"/>
        <cfvo type="percent" val="75"/>
      </iconSet>
    </cfRule>
    <cfRule type="dataBar" priority="83">
      <dataBar>
        <cfvo type="min"/>
        <cfvo type="max"/>
        <color rgb="FF638EC6"/>
      </dataBar>
    </cfRule>
  </conditionalFormatting>
  <conditionalFormatting sqref="A15:A26">
    <cfRule type="dataBar" priority="64">
      <dataBar>
        <cfvo type="min"/>
        <cfvo type="max"/>
        <color theme="0"/>
      </dataBar>
    </cfRule>
    <cfRule type="dataBar" priority="65">
      <dataBar>
        <cfvo type="min"/>
        <cfvo type="max"/>
        <color theme="0"/>
      </dataBar>
    </cfRule>
  </conditionalFormatting>
  <conditionalFormatting sqref="A15:A26">
    <cfRule type="dataBar" priority="61">
      <dataBar>
        <cfvo type="min"/>
        <cfvo type="max"/>
        <color rgb="FFFF555A"/>
      </dataBar>
    </cfRule>
    <cfRule type="iconSet" priority="62">
      <iconSet iconSet="4TrafficLights">
        <cfvo type="percent" val="0"/>
        <cfvo type="percent" val="25"/>
        <cfvo type="percent" val="50"/>
        <cfvo type="percent" val="75"/>
      </iconSet>
    </cfRule>
    <cfRule type="dataBar" priority="63">
      <dataBar>
        <cfvo type="min"/>
        <cfvo type="max"/>
        <color rgb="FF638EC6"/>
      </dataBar>
    </cfRule>
  </conditionalFormatting>
  <conditionalFormatting sqref="A15:A16">
    <cfRule type="dataBar" priority="69">
      <dataBar>
        <cfvo type="min"/>
        <cfvo type="max"/>
        <color theme="0"/>
      </dataBar>
    </cfRule>
    <cfRule type="dataBar" priority="70">
      <dataBar>
        <cfvo type="min"/>
        <cfvo type="max"/>
        <color theme="0"/>
      </dataBar>
    </cfRule>
  </conditionalFormatting>
  <conditionalFormatting sqref="A15:A16">
    <cfRule type="dataBar" priority="66">
      <dataBar>
        <cfvo type="min"/>
        <cfvo type="max"/>
        <color rgb="FFFF555A"/>
      </dataBar>
    </cfRule>
    <cfRule type="iconSet" priority="67">
      <iconSet iconSet="4TrafficLights">
        <cfvo type="percent" val="0"/>
        <cfvo type="percent" val="25"/>
        <cfvo type="percent" val="50"/>
        <cfvo type="percent" val="75"/>
      </iconSet>
    </cfRule>
    <cfRule type="dataBar" priority="68">
      <dataBar>
        <cfvo type="min"/>
        <cfvo type="max"/>
        <color rgb="FF638EC6"/>
      </dataBar>
    </cfRule>
  </conditionalFormatting>
  <conditionalFormatting sqref="A14">
    <cfRule type="dataBar" priority="49">
      <dataBar>
        <cfvo type="min"/>
        <cfvo type="max"/>
        <color theme="0"/>
      </dataBar>
    </cfRule>
    <cfRule type="dataBar" priority="50">
      <dataBar>
        <cfvo type="min"/>
        <cfvo type="max"/>
        <color theme="0"/>
      </dataBar>
    </cfRule>
  </conditionalFormatting>
  <conditionalFormatting sqref="A14">
    <cfRule type="dataBar" priority="46">
      <dataBar>
        <cfvo type="min"/>
        <cfvo type="max"/>
        <color rgb="FFFF555A"/>
      </dataBar>
    </cfRule>
    <cfRule type="iconSet" priority="47">
      <iconSet iconSet="4TrafficLights">
        <cfvo type="percent" val="0"/>
        <cfvo type="percent" val="25"/>
        <cfvo type="percent" val="50"/>
        <cfvo type="percent" val="75"/>
      </iconSet>
    </cfRule>
    <cfRule type="dataBar" priority="48">
      <dataBar>
        <cfvo type="min"/>
        <cfvo type="max"/>
        <color rgb="FF638EC6"/>
      </dataBar>
    </cfRule>
  </conditionalFormatting>
  <conditionalFormatting sqref="A6">
    <cfRule type="dataBar" priority="11">
      <dataBar>
        <cfvo type="min"/>
        <cfvo type="max"/>
        <color theme="0"/>
      </dataBar>
    </cfRule>
    <cfRule type="dataBar" priority="12">
      <dataBar>
        <cfvo type="min"/>
        <cfvo type="max"/>
        <color theme="0"/>
      </dataBar>
    </cfRule>
  </conditionalFormatting>
  <conditionalFormatting sqref="A6">
    <cfRule type="dataBar" priority="13">
      <dataBar>
        <cfvo type="min"/>
        <cfvo type="max"/>
        <color rgb="FFFF555A"/>
      </dataBar>
    </cfRule>
    <cfRule type="iconSet" priority="14">
      <iconSet iconSet="4TrafficLights">
        <cfvo type="percent" val="0"/>
        <cfvo type="percent" val="25"/>
        <cfvo type="percent" val="50"/>
        <cfvo type="percent" val="75"/>
      </iconSet>
    </cfRule>
    <cfRule type="dataBar" priority="15">
      <dataBar>
        <cfvo type="min"/>
        <cfvo type="max"/>
        <color rgb="FF638EC6"/>
      </dataBar>
    </cfRule>
  </conditionalFormatting>
  <conditionalFormatting sqref="A8">
    <cfRule type="dataBar" priority="9">
      <dataBar>
        <cfvo type="min"/>
        <cfvo type="max"/>
        <color theme="0"/>
      </dataBar>
    </cfRule>
    <cfRule type="dataBar" priority="10">
      <dataBar>
        <cfvo type="min"/>
        <cfvo type="max"/>
        <color theme="0"/>
      </dataBar>
    </cfRule>
  </conditionalFormatting>
  <conditionalFormatting sqref="A8">
    <cfRule type="dataBar" priority="6">
      <dataBar>
        <cfvo type="min"/>
        <cfvo type="max"/>
        <color rgb="FFFF555A"/>
      </dataBar>
    </cfRule>
    <cfRule type="iconSet" priority="7">
      <iconSet iconSet="4TrafficLights">
        <cfvo type="percent" val="0"/>
        <cfvo type="percent" val="25"/>
        <cfvo type="percent" val="50"/>
        <cfvo type="percent" val="75"/>
      </iconSet>
    </cfRule>
    <cfRule type="dataBar" priority="8">
      <dataBar>
        <cfvo type="min"/>
        <cfvo type="max"/>
        <color rgb="FF638EC6"/>
      </dataBar>
    </cfRule>
  </conditionalFormatting>
  <conditionalFormatting sqref="A13">
    <cfRule type="dataBar" priority="91">
      <dataBar>
        <cfvo type="min"/>
        <cfvo type="max"/>
        <color theme="0"/>
      </dataBar>
    </cfRule>
    <cfRule type="dataBar" priority="92">
      <dataBar>
        <cfvo type="min"/>
        <cfvo type="max"/>
        <color theme="0"/>
      </dataBar>
    </cfRule>
  </conditionalFormatting>
  <conditionalFormatting sqref="A13">
    <cfRule type="dataBar" priority="93">
      <dataBar>
        <cfvo type="min"/>
        <cfvo type="max"/>
        <color rgb="FFFF555A"/>
      </dataBar>
    </cfRule>
    <cfRule type="iconSet" priority="94">
      <iconSet iconSet="4TrafficLights">
        <cfvo type="percent" val="0"/>
        <cfvo type="percent" val="25"/>
        <cfvo type="percent" val="50"/>
        <cfvo type="percent" val="75"/>
      </iconSet>
    </cfRule>
    <cfRule type="dataBar" priority="95">
      <dataBar>
        <cfvo type="min"/>
        <cfvo type="max"/>
        <color rgb="FF638EC6"/>
      </dataBar>
    </cfRule>
  </conditionalFormatting>
  <conditionalFormatting sqref="A32">
    <cfRule type="dataBar" priority="4">
      <dataBar>
        <cfvo type="min"/>
        <cfvo type="max"/>
        <color theme="0"/>
      </dataBar>
    </cfRule>
    <cfRule type="dataBar" priority="5">
      <dataBar>
        <cfvo type="min"/>
        <cfvo type="max"/>
        <color theme="0"/>
      </dataBar>
    </cfRule>
  </conditionalFormatting>
  <conditionalFormatting sqref="A32">
    <cfRule type="dataBar" priority="1">
      <dataBar>
        <cfvo type="min"/>
        <cfvo type="max"/>
        <color rgb="FFFF555A"/>
      </dataBar>
    </cfRule>
    <cfRule type="iconSet" priority="2">
      <iconSet iconSet="4TrafficLights">
        <cfvo type="percent" val="0"/>
        <cfvo type="percent" val="25"/>
        <cfvo type="percent" val="50"/>
        <cfvo type="percent" val="75"/>
      </iconSet>
    </cfRule>
    <cfRule type="dataBar" priority="3">
      <dataBar>
        <cfvo type="min"/>
        <cfvo type="max"/>
        <color rgb="FF638EC6"/>
      </dataBar>
    </cfRule>
  </conditionalFormatting>
  <pageMargins left="0" right="0" top="0" bottom="0" header="0.31496062992125984" footer="0.31496062992125984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M171"/>
  <sheetViews>
    <sheetView topLeftCell="A148" zoomScale="91" zoomScaleNormal="91" workbookViewId="0">
      <selection activeCell="K79" sqref="K79"/>
    </sheetView>
  </sheetViews>
  <sheetFormatPr defaultRowHeight="15" x14ac:dyDescent="0.25"/>
  <cols>
    <col min="1" max="1" width="34.42578125" style="122" customWidth="1"/>
    <col min="2" max="2" width="0.5703125" customWidth="1"/>
    <col min="3" max="3" width="15.5703125" bestFit="1" customWidth="1"/>
    <col min="4" max="4" width="0.7109375" customWidth="1"/>
    <col min="5" max="5" width="15.5703125" style="31" bestFit="1" customWidth="1"/>
    <col min="6" max="6" width="0.85546875" customWidth="1"/>
    <col min="7" max="7" width="14.85546875" style="31" bestFit="1" customWidth="1"/>
    <col min="8" max="8" width="0.85546875" customWidth="1"/>
    <col min="9" max="9" width="14.85546875" style="31" bestFit="1" customWidth="1"/>
    <col min="10" max="10" width="0.7109375" customWidth="1"/>
    <col min="11" max="11" width="15.140625" style="75" customWidth="1"/>
    <col min="12" max="12" width="0.42578125" customWidth="1"/>
    <col min="13" max="13" width="16.42578125" bestFit="1" customWidth="1"/>
  </cols>
  <sheetData>
    <row r="1" spans="1:13" ht="15.75" x14ac:dyDescent="0.25">
      <c r="M1" s="93">
        <v>1</v>
      </c>
    </row>
    <row r="2" spans="1:13" ht="31.5" x14ac:dyDescent="0.5">
      <c r="C2" s="305" t="s">
        <v>204</v>
      </c>
      <c r="D2" s="305"/>
      <c r="E2" s="305"/>
      <c r="F2" s="305"/>
      <c r="G2" s="305"/>
      <c r="H2" s="305"/>
      <c r="I2" s="305"/>
      <c r="J2" s="305"/>
      <c r="K2" s="305"/>
    </row>
    <row r="3" spans="1:13" ht="31.5" x14ac:dyDescent="0.5">
      <c r="C3" s="305" t="s">
        <v>205</v>
      </c>
      <c r="D3" s="305"/>
      <c r="E3" s="305"/>
      <c r="F3" s="305"/>
      <c r="G3" s="305"/>
      <c r="H3" s="305"/>
      <c r="I3" s="305"/>
      <c r="J3" s="305"/>
      <c r="K3" s="305"/>
    </row>
    <row r="4" spans="1:13" s="3" customFormat="1" x14ac:dyDescent="0.25">
      <c r="A4" s="37"/>
      <c r="C4" s="136">
        <v>42005</v>
      </c>
      <c r="E4" s="33" t="s">
        <v>107</v>
      </c>
      <c r="G4" s="33" t="s">
        <v>108</v>
      </c>
      <c r="I4" s="33" t="s">
        <v>109</v>
      </c>
      <c r="K4" s="3" t="s">
        <v>110</v>
      </c>
    </row>
    <row r="5" spans="1:13" s="3" customFormat="1" x14ac:dyDescent="0.25">
      <c r="A5" s="123" t="s">
        <v>233</v>
      </c>
      <c r="C5" s="26">
        <f>11341.11+6058.75+15243.88+48000+12678.42+296.33+5629.32</f>
        <v>99247.81</v>
      </c>
      <c r="E5" s="137">
        <v>11304.68</v>
      </c>
      <c r="G5" s="137">
        <v>31637.93</v>
      </c>
      <c r="I5" s="137">
        <v>18375.53</v>
      </c>
      <c r="K5" s="137">
        <v>18269.52</v>
      </c>
      <c r="M5" s="26">
        <v>-15155.32</v>
      </c>
    </row>
    <row r="6" spans="1:13" s="2" customFormat="1" x14ac:dyDescent="0.25">
      <c r="A6" s="123" t="s">
        <v>230</v>
      </c>
      <c r="B6" s="3"/>
      <c r="C6" s="1">
        <f>SUM(C15)</f>
        <v>75106.25</v>
      </c>
      <c r="D6" s="1"/>
      <c r="E6" s="1">
        <f>SUM(E15)</f>
        <v>288110.31000000006</v>
      </c>
      <c r="F6" s="1"/>
      <c r="G6" s="1">
        <f>SUM(G15)</f>
        <v>180666.81</v>
      </c>
      <c r="H6" s="1"/>
      <c r="I6" s="1">
        <f>SUM(I15)</f>
        <v>184903.63</v>
      </c>
      <c r="J6" s="1"/>
      <c r="K6" s="1">
        <f>SUM(K15)</f>
        <v>202115.24000000005</v>
      </c>
      <c r="M6" s="10">
        <f>C5+C6+E6+G6+I6+K6</f>
        <v>1030150.05</v>
      </c>
    </row>
    <row r="7" spans="1:13" x14ac:dyDescent="0.25">
      <c r="A7" s="123" t="s">
        <v>231</v>
      </c>
      <c r="B7" s="3"/>
      <c r="C7" s="1">
        <f>SUM(C156)</f>
        <v>163049.38500000001</v>
      </c>
      <c r="D7" s="1"/>
      <c r="E7" s="1">
        <f>SUM(E156)</f>
        <v>267777.06</v>
      </c>
      <c r="F7" s="1"/>
      <c r="G7" s="1">
        <f>SUM(G156)</f>
        <v>193929.21000000002</v>
      </c>
      <c r="H7" s="1"/>
      <c r="I7" s="1">
        <f>SUM(I156)</f>
        <v>185009.63999999996</v>
      </c>
      <c r="J7" s="1"/>
      <c r="K7" s="1">
        <f>SUM(K156)</f>
        <v>228737.88</v>
      </c>
      <c r="M7" s="10">
        <f>SUM(C7:K7)</f>
        <v>1038503.1749999999</v>
      </c>
    </row>
    <row r="8" spans="1:13" s="35" customFormat="1" x14ac:dyDescent="0.25">
      <c r="A8" s="121"/>
      <c r="C8" s="82">
        <f>SUM(C5+C6-C7)</f>
        <v>11304.674999999988</v>
      </c>
      <c r="E8" s="82">
        <f>SUM(E5+E6-E7)</f>
        <v>31637.930000000051</v>
      </c>
      <c r="G8" s="82">
        <f>SUM(G5+G6-G7)</f>
        <v>18375.52999999997</v>
      </c>
      <c r="I8" s="82">
        <f>SUM(I5+I6-I7)</f>
        <v>18269.520000000048</v>
      </c>
      <c r="K8" s="82">
        <f>SUM(K5+K6-K7)</f>
        <v>-8353.1199999999662</v>
      </c>
      <c r="M8" s="82">
        <f>SUM(M5+M6-M7)</f>
        <v>-23508.444999999832</v>
      </c>
    </row>
    <row r="9" spans="1:13" s="35" customFormat="1" ht="21" x14ac:dyDescent="0.4">
      <c r="A9" s="124" t="s">
        <v>206</v>
      </c>
      <c r="C9" s="68"/>
      <c r="E9" s="68"/>
      <c r="G9" s="68"/>
      <c r="I9" s="68"/>
      <c r="K9" s="73"/>
      <c r="M9" s="71"/>
    </row>
    <row r="10" spans="1:13" s="35" customFormat="1" ht="16.5" x14ac:dyDescent="0.3">
      <c r="A10" s="125" t="s">
        <v>207</v>
      </c>
      <c r="C10" s="73">
        <f>46028.39</f>
        <v>46028.39</v>
      </c>
      <c r="D10" s="85"/>
      <c r="E10" s="73">
        <f>2495.13+41577.04+2495.13+17407.85</f>
        <v>63975.149999999994</v>
      </c>
      <c r="F10" s="85"/>
      <c r="G10" s="73">
        <f>2495.13+17407.85+46093.63</f>
        <v>65996.61</v>
      </c>
      <c r="H10" s="85"/>
      <c r="I10" s="73">
        <f>2495.13+17407.85+46120.82+6174.81</f>
        <v>72198.61</v>
      </c>
      <c r="J10" s="85"/>
      <c r="K10" s="73">
        <f>6174.81+2495.13+17407.85+39926.98</f>
        <v>66004.77</v>
      </c>
      <c r="L10" s="85"/>
      <c r="M10" s="86">
        <f>SUM(C10+E10+G10+I10+K10)</f>
        <v>314203.53000000003</v>
      </c>
    </row>
    <row r="11" spans="1:13" s="35" customFormat="1" ht="16.5" x14ac:dyDescent="0.3">
      <c r="A11" s="125" t="s">
        <v>208</v>
      </c>
      <c r="C11" s="73">
        <v>0</v>
      </c>
      <c r="D11" s="85"/>
      <c r="E11" s="73">
        <f>70250</f>
        <v>70250</v>
      </c>
      <c r="F11" s="85"/>
      <c r="G11" s="73">
        <f>70250</f>
        <v>70250</v>
      </c>
      <c r="H11" s="85"/>
      <c r="I11" s="73">
        <v>70250</v>
      </c>
      <c r="J11" s="85"/>
      <c r="K11" s="73">
        <f>70250</f>
        <v>70250</v>
      </c>
      <c r="L11" s="85"/>
      <c r="M11" s="86">
        <f t="shared" ref="M11:M14" si="0">SUM(C11+E11+G11+I11+K11)</f>
        <v>281000</v>
      </c>
    </row>
    <row r="12" spans="1:13" s="35" customFormat="1" ht="16.5" x14ac:dyDescent="0.3">
      <c r="A12" s="125" t="s">
        <v>209</v>
      </c>
      <c r="C12" s="73">
        <f>21708.86</f>
        <v>21708.86</v>
      </c>
      <c r="D12" s="85"/>
      <c r="E12" s="73">
        <f>48653.76</f>
        <v>48653.760000000002</v>
      </c>
      <c r="F12" s="85"/>
      <c r="G12" s="73">
        <f>25000+9117.2</f>
        <v>34117.199999999997</v>
      </c>
      <c r="H12" s="85"/>
      <c r="I12" s="73">
        <f>10552.02+25000</f>
        <v>35552.020000000004</v>
      </c>
      <c r="J12" s="85"/>
      <c r="K12" s="73">
        <f>25000+9058.27+25000</f>
        <v>59058.270000000004</v>
      </c>
      <c r="L12" s="85"/>
      <c r="M12" s="86">
        <f t="shared" si="0"/>
        <v>199090.11</v>
      </c>
    </row>
    <row r="13" spans="1:13" s="35" customFormat="1" ht="16.5" x14ac:dyDescent="0.3">
      <c r="A13" s="125" t="s">
        <v>232</v>
      </c>
      <c r="C13" s="73">
        <v>0</v>
      </c>
      <c r="D13" s="85"/>
      <c r="E13" s="73">
        <f>9500+85500</f>
        <v>95000</v>
      </c>
      <c r="F13" s="85"/>
      <c r="G13" s="73">
        <v>0</v>
      </c>
      <c r="H13" s="85"/>
      <c r="I13" s="73">
        <v>0</v>
      </c>
      <c r="J13" s="85"/>
      <c r="K13" s="73">
        <v>0</v>
      </c>
      <c r="L13" s="85"/>
      <c r="M13" s="86">
        <f t="shared" si="0"/>
        <v>95000</v>
      </c>
    </row>
    <row r="14" spans="1:13" s="35" customFormat="1" ht="16.5" x14ac:dyDescent="0.3">
      <c r="A14" s="125" t="s">
        <v>210</v>
      </c>
      <c r="C14" s="73">
        <f>150+1520+210+150+180+190+570+150+190+150+459+190+270+150+820+360+110+250+50+350+150+750</f>
        <v>7369</v>
      </c>
      <c r="D14" s="85"/>
      <c r="E14" s="73">
        <f>2940+150+150+372.4+195+290+60+50+50+800+194+150+1800+1000+1050+980</f>
        <v>10231.4</v>
      </c>
      <c r="F14" s="85"/>
      <c r="G14" s="73">
        <f>1820+130+115+63+150+140+1520+1000+300+50+150+850+50+150+1000+115+1500+350+850</f>
        <v>10303</v>
      </c>
      <c r="H14" s="85"/>
      <c r="I14" s="73">
        <f>1000+120+110+100+210+80+300+2140+450+213+80+450+150+1500</f>
        <v>6903</v>
      </c>
      <c r="J14" s="85"/>
      <c r="K14" s="73">
        <v>6802.2</v>
      </c>
      <c r="L14" s="85"/>
      <c r="M14" s="86">
        <f t="shared" si="0"/>
        <v>41608.6</v>
      </c>
    </row>
    <row r="15" spans="1:13" s="35" customFormat="1" ht="21" x14ac:dyDescent="0.4">
      <c r="A15" s="126"/>
      <c r="C15" s="82">
        <f>SUM(C10:C14)</f>
        <v>75106.25</v>
      </c>
      <c r="E15" s="82">
        <f>SUM(E10:E14)</f>
        <v>288110.31000000006</v>
      </c>
      <c r="G15" s="82">
        <f>SUM(G10:G14)</f>
        <v>180666.81</v>
      </c>
      <c r="I15" s="82">
        <f>SUM(I10:I14)</f>
        <v>184903.63</v>
      </c>
      <c r="K15" s="82">
        <f>SUM(K10:K14)</f>
        <v>202115.24000000005</v>
      </c>
      <c r="M15" s="87">
        <f>SUM(M10:M14)</f>
        <v>930902.24</v>
      </c>
    </row>
    <row r="16" spans="1:13" s="8" customFormat="1" ht="21" x14ac:dyDescent="0.4">
      <c r="A16" s="124" t="s">
        <v>60</v>
      </c>
      <c r="C16" s="68"/>
      <c r="D16" s="35"/>
      <c r="E16" s="68"/>
      <c r="F16" s="35"/>
      <c r="G16" s="68"/>
      <c r="H16" s="35"/>
      <c r="I16" s="68"/>
      <c r="J16" s="35"/>
      <c r="K16" s="73"/>
      <c r="M16" s="10"/>
    </row>
    <row r="17" spans="1:13" ht="15.75" x14ac:dyDescent="0.3">
      <c r="A17" s="127" t="s">
        <v>111</v>
      </c>
      <c r="B17" s="32"/>
      <c r="C17" s="6"/>
      <c r="D17" s="31"/>
      <c r="E17" s="6"/>
      <c r="F17" s="31"/>
      <c r="G17" s="6"/>
      <c r="H17" s="31"/>
      <c r="I17" s="6"/>
      <c r="J17" s="31"/>
      <c r="K17" s="74"/>
      <c r="L17" s="31"/>
      <c r="M17" s="76"/>
    </row>
    <row r="18" spans="1:13" ht="15.75" x14ac:dyDescent="0.3">
      <c r="A18" s="128" t="s">
        <v>62</v>
      </c>
      <c r="B18" s="9"/>
      <c r="C18" s="1">
        <f>750+1212.9+1400+1212.9+1212.9+1212.9+724+750+724+1212.9+1300+1141.07+2150+2205.54+300+850+850+1332+4000+850+3045.5+1100+724+724+750+2470.2+724+1141.07+2100+900+1141.07+900+3045.5+1200+850+550</f>
        <v>46756.45</v>
      </c>
      <c r="E18" s="34">
        <f>1400+788+1200+850+788+1141.07+900+788+2470.2+550+1212.9+788+1141.07+788+3045.5+900+1100+2100+1212.9+1212.9+1212.9+1212.9+1212.9+788+788+788+1212.9+1300+1141.07+2205.54+850+1212.9+850+1332+4000+850+3045.5+640.9+494.52</f>
        <v>49514.570000000007</v>
      </c>
      <c r="G18" s="34">
        <f>1212.9+1212.9+788+788+788+1300+80.86+1141.07+2150+788.33+56.67+1212.9+850+1332+4000+1212.9+1141.07+2270+1400+1479+850+1100+1141.07+900+788+788+3045.5+788+2470.2+788+1200+550+1141.07</f>
        <v>40754.439999999995</v>
      </c>
      <c r="I18" s="34">
        <f>788+1212.9+1212.9+1141.07+1212.9+1212.9+850+788+788+900+1141.07+2078.33+788+1212.9+3045.5+793.33+1200+1212.9+850+1332+788+390+850+2842.47+788+2205.54+1400+1479+1132.04+366.67+1141.07+56.67</f>
        <v>37200.160000000003</v>
      </c>
      <c r="K18" s="60">
        <f>1212.9+788+1212.9+788+1212.9+2150+733.33+850+1212.9+850+793.33+1332+3045.5+203.03+1212.9+1141.07+1479+1141.07+850+1141.07+900+788+1200+2270+788+1837.95+900+788+1141.07+4000+1333.33+1300+433.33+2470.2+550+3045.5+1212.8</f>
        <v>48308.080000000009</v>
      </c>
      <c r="M18" s="11">
        <f>SUM(C18+E18+G18+I18+K18)</f>
        <v>222533.7</v>
      </c>
    </row>
    <row r="19" spans="1:13" ht="15.75" x14ac:dyDescent="0.3">
      <c r="A19" s="128" t="s">
        <v>166</v>
      </c>
      <c r="B19" s="9"/>
      <c r="C19" s="1">
        <f>700</f>
        <v>700</v>
      </c>
      <c r="E19" s="34">
        <f>1000+13.23</f>
        <v>1013.23</v>
      </c>
      <c r="G19" s="34">
        <f>1000+13.38+788</f>
        <v>1801.38</v>
      </c>
      <c r="I19" s="34">
        <f>1000+13.38</f>
        <v>1013.38</v>
      </c>
      <c r="K19" s="60">
        <f>266.67</f>
        <v>266.67</v>
      </c>
      <c r="M19" s="11">
        <f t="shared" ref="M19:M53" si="1">SUM(C19+E19+G19+I19+K19)</f>
        <v>4794.66</v>
      </c>
    </row>
    <row r="20" spans="1:13" ht="15.75" x14ac:dyDescent="0.3">
      <c r="A20" s="128" t="s">
        <v>173</v>
      </c>
      <c r="B20" s="9"/>
      <c r="C20" s="1">
        <f>24.66+49.32+24.66</f>
        <v>98.64</v>
      </c>
      <c r="E20" s="34">
        <f>26.2+26.2+52.4</f>
        <v>104.8</v>
      </c>
      <c r="G20" s="34">
        <f>52.4+26.2+26.2</f>
        <v>104.8</v>
      </c>
      <c r="I20" s="34">
        <f>26.2</f>
        <v>26.2</v>
      </c>
      <c r="K20" s="60">
        <f>26.2+26.2</f>
        <v>52.4</v>
      </c>
      <c r="M20" s="11">
        <f t="shared" si="1"/>
        <v>386.84</v>
      </c>
    </row>
    <row r="21" spans="1:13" ht="15.75" x14ac:dyDescent="0.3">
      <c r="A21" s="128" t="s">
        <v>167</v>
      </c>
      <c r="B21" s="9"/>
      <c r="C21" s="1">
        <f>9.16</f>
        <v>9.16</v>
      </c>
      <c r="E21" s="34">
        <v>0</v>
      </c>
      <c r="G21" s="34">
        <v>0</v>
      </c>
      <c r="I21" s="34">
        <v>0</v>
      </c>
      <c r="K21" s="60">
        <f>3.57</f>
        <v>3.57</v>
      </c>
      <c r="M21" s="11">
        <f t="shared" si="1"/>
        <v>12.73</v>
      </c>
    </row>
    <row r="22" spans="1:13" ht="15.75" x14ac:dyDescent="0.3">
      <c r="A22" s="128" t="s">
        <v>159</v>
      </c>
      <c r="B22" s="9"/>
      <c r="C22" s="1">
        <f>22.27+4.25+10.34+0.81+6.32+21.71+24.86+4.54+1.19+31.93+4.46+1.02+31.66+3.36+9.07+38.34+14.28+19.76</f>
        <v>250.17000000000002</v>
      </c>
      <c r="E22" s="34">
        <f>2.14+25.12+15.97+25.9+5.13+0.36+9.45+7.93+0.6+2.22+10.41+0.81+3.16+11.2+1.6+1.99+0.81+10+33.06+2.15</f>
        <v>170.01</v>
      </c>
      <c r="G22" s="34">
        <f>1.69+15.9+0.41+1.2+1.24+5.83+10.37+1.4+6.17+230+8.84+4.5+6.91+3.58+4.05+0.57</f>
        <v>302.65999999999997</v>
      </c>
      <c r="I22" s="34">
        <f>2.32+2.19+4.58+6.93+0.99+1.51+2.85+6.65+3.32+30.2+0.65+0.72+4.12+0.62+0.65+2.07+14.83</f>
        <v>85.2</v>
      </c>
      <c r="K22" s="60">
        <f>2.42+9.02+24.76+3.02+27.61+43.33+1.94+23.01+23.77+39.06+1.43+7.6+43.85+23.38+66.6+0.76+7.31</f>
        <v>348.87000000000006</v>
      </c>
      <c r="M22" s="11">
        <f t="shared" si="1"/>
        <v>1156.9100000000001</v>
      </c>
    </row>
    <row r="23" spans="1:13" ht="15.75" x14ac:dyDescent="0.3">
      <c r="A23" s="128" t="s">
        <v>164</v>
      </c>
      <c r="B23" s="9"/>
      <c r="C23" s="1">
        <f>80</f>
        <v>80</v>
      </c>
      <c r="E23" s="34">
        <f>80</f>
        <v>80</v>
      </c>
      <c r="G23" s="34">
        <f>80</f>
        <v>80</v>
      </c>
      <c r="I23" s="34">
        <f>80</f>
        <v>80</v>
      </c>
      <c r="K23" s="60">
        <f>80</f>
        <v>80</v>
      </c>
      <c r="M23" s="11">
        <f t="shared" si="1"/>
        <v>400</v>
      </c>
    </row>
    <row r="24" spans="1:13" ht="15.75" x14ac:dyDescent="0.3">
      <c r="A24" s="128" t="s">
        <v>157</v>
      </c>
      <c r="B24" s="9"/>
      <c r="C24" s="1">
        <f>17.88+53.76+14.52+11.85+121.82+23.61+9.52+3.02+23.2+102.76+35.54+40.39+17.47+44.67+4.07</f>
        <v>524.08000000000004</v>
      </c>
      <c r="E24" s="34">
        <f>11.12+12.72+18.57+17.51+1.88+14.76+41.24+3.62+11.54+4.77+4.23+16.41+35.52+8.31+10.33+4.21+52.02+21.26+7.89</f>
        <v>297.91000000000003</v>
      </c>
      <c r="G24" s="34">
        <f>3.26+2.45+7.21+7.46+30.32+3.26+31.76+36.31+3.42+53.04+27+41.48+16.41+13.42</f>
        <v>276.8</v>
      </c>
      <c r="I24" s="34">
        <f>12.08+7.85+20.6+34.58+22.61+26.2+9.04+5.16+17.24+96.37+25.79+3.38+4.52+16.91+3.21+3.38+10.77</f>
        <v>319.69</v>
      </c>
      <c r="K24" s="60">
        <f>9.66+3.67+110.45+3.26+5.7+26.98+20.63+3.03+29.23</f>
        <v>212.60999999999999</v>
      </c>
      <c r="M24" s="11">
        <f t="shared" si="1"/>
        <v>1631.09</v>
      </c>
    </row>
    <row r="25" spans="1:13" ht="15.75" x14ac:dyDescent="0.3">
      <c r="A25" s="128" t="s">
        <v>158</v>
      </c>
      <c r="B25" s="9"/>
      <c r="C25" s="1">
        <f>4.22+4.22+83.33+163+85.01+47.15+119.96+89.07</f>
        <v>595.95999999999992</v>
      </c>
      <c r="E25" s="34">
        <f>91.33+53.42+134.66+9.18+49.35+22.74+150.63</f>
        <v>511.31</v>
      </c>
      <c r="G25" s="34">
        <f>10.15+92.11+5.15+5.23+13.77+10.87+5.05</f>
        <v>142.33000000000001</v>
      </c>
      <c r="I25" s="34">
        <f>5.31+14.84+13.42+4.51+117.51</f>
        <v>155.59</v>
      </c>
      <c r="K25" s="60">
        <f>32.41+99.03+12.08+173.33+4.51+92.06+87.17+156.24+12.55+147.69+93.53+266.4</f>
        <v>1177</v>
      </c>
      <c r="M25" s="11">
        <f t="shared" si="1"/>
        <v>2582.1899999999996</v>
      </c>
    </row>
    <row r="26" spans="1:13" ht="15.75" x14ac:dyDescent="0.3">
      <c r="A26" s="128" t="s">
        <v>172</v>
      </c>
      <c r="B26" s="9"/>
      <c r="C26" s="1">
        <f>18.35+17.69+7.45+38.73+73.99</f>
        <v>156.20999999999998</v>
      </c>
      <c r="E26" s="34">
        <f>26.59+11.06+34.39</f>
        <v>72.039999999999992</v>
      </c>
      <c r="G26" s="34">
        <v>0</v>
      </c>
      <c r="I26" s="34">
        <f>13.75</f>
        <v>13.75</v>
      </c>
      <c r="K26" s="60">
        <f>7.08</f>
        <v>7.08</v>
      </c>
      <c r="M26" s="11">
        <f t="shared" si="1"/>
        <v>249.07999999999998</v>
      </c>
    </row>
    <row r="27" spans="1:13" ht="15.75" x14ac:dyDescent="0.3">
      <c r="A27" s="128" t="s">
        <v>160</v>
      </c>
      <c r="B27" s="9"/>
      <c r="C27" s="1">
        <f>0.55+0.71+0.37+0.66+4.04+0.02+1.55+0.75+1.56+0.33+0.35+0.57+9.52+0.035+0.73+8.22+0.97+0.97+1.46+0.13+0.82+0.81+0.77+0.08+0.74+0.95+1.46+0.81+0.21+0.3+0.04+0.02+0.92+0.69+0.89+0.67+0.44+0.03+0.1+0.8+0.44+0.11</f>
        <v>45.595000000000006</v>
      </c>
      <c r="E27" s="34">
        <f>0.45+0.43+0.22+0.48+0.23+0.16+0.84+0.14+0.71+0.41+0.84+0.27+0.37+0.84+0.51+0.15+0.36+0.46+0.46+0.24+0.89+0.64+0.59+0.38+0.11+0.57+0.72+0.8+0.45+0.38+0.82+0.1+0.82+0.92+0.59+0.31+0.26+0.9+0.9</f>
        <v>19.720000000000002</v>
      </c>
      <c r="G27" s="34">
        <f>0.07+0.18+0.45+0.75+0.68+0.22+0.16+0.75+0.76+0.04+0.11+0.92+0.94+0.76+0.08+0.62+0.47+0.25+0.75+0.67+0.73+0.35+0.5+0.89+0.83+0.94+0.59+0.65+0.94+0.02+0.36+0.22+0.24</f>
        <v>16.889999999999997</v>
      </c>
      <c r="I27" s="34">
        <f>0.76+0.36+0.32+0.12+0.76+0.64+0.13+0.58+0.01+0.66+0.45+0.77+0.31+0.5+0.68+0.46+0.35+0.65+0.48+0.76+0.57+0.13+0.31+0.58+0.03+0.67+0.22+0.95+0.48+0.19+0.42+0.67+0.83+0.35</f>
        <v>16.150000000000002</v>
      </c>
      <c r="K27" s="60">
        <f>0.26+0.37+0.73+0.09+0.13+0.45+0.87+0.17+0.27+0.73+0.05+0.79+0.46+0.93+0.49+0.59+0.11+0.08+0.08+0.51+0.88+0.22+0.67+0.91+0.19+0.76+0.53+0.59+0.64+0.23+0.4+0.73+0.21+0.83+0.19</f>
        <v>16.140000000000004</v>
      </c>
      <c r="M27" s="11">
        <f t="shared" si="1"/>
        <v>114.49500000000002</v>
      </c>
    </row>
    <row r="28" spans="1:13" ht="15.75" x14ac:dyDescent="0.3">
      <c r="A28" s="128" t="s">
        <v>155</v>
      </c>
      <c r="B28" s="9"/>
      <c r="C28" s="1">
        <f>72.77+72.77+72.77+72.77+68.46+182.73+182.73</f>
        <v>725</v>
      </c>
      <c r="E28" s="34">
        <f>68.46+148.21+72.77+182.73+72.77+72.77+72.77+68.46+132.33+72.77+182.73</f>
        <v>1146.77</v>
      </c>
      <c r="G28" s="34">
        <f>72.77+64.46+72.77+79.92+72.77+68.46+68.46+68.46+182.73+148.21</f>
        <v>899.01</v>
      </c>
      <c r="I28" s="34">
        <f>72.77+79.92+182.73+68.46+72.77+182.73+72.77+68.46+72.77</f>
        <v>873.37999999999988</v>
      </c>
      <c r="K28" s="60">
        <f>72.77+72.77+72.77+182.73+68.46+68.46+68.46+148.21+72.77+182.73</f>
        <v>1010.13</v>
      </c>
      <c r="M28" s="11">
        <f t="shared" si="1"/>
        <v>4654.29</v>
      </c>
    </row>
    <row r="29" spans="1:13" ht="15.75" x14ac:dyDescent="0.3">
      <c r="A29" s="128" t="s">
        <v>156</v>
      </c>
      <c r="B29" s="9"/>
      <c r="C29" s="1">
        <f>144.26+144.12+118.35+144.8+144.46+144.74+144.8+144.68+139.95+144.8+144.8+144.8+136.66+144.06+43.44+101.36+142.01+144.01+144+144.34+144.8+131.88+144.6+140.23+142.97+144.8+136.9+144.8+144.8+144.28+144.56+143.92+144.8+97.33+140.88</f>
        <v>4795.9900000000016</v>
      </c>
      <c r="E29" s="34">
        <f>137.46+136.72+144.8+144.8+137.74+236.4+135.07+144.8+236.4+231.37+143.31+235.98+143.81+236.4+144.8+141.71+236.4+228.85+143.23+236.4+228.52+236.4+144.39+144.8+139.92+226.39+143.99+235.15+234.3+143.05+235.28+131.16+218.11+144.8+143.54+236.4+144.8+57.92</f>
        <v>6765.37</v>
      </c>
      <c r="G29" s="34">
        <f>157.6+156.72+157.6+235.94+197.35+157.58+152.35+157.51+15.76+156.04+235.64+139.01+57.19+10.51+236.07+122.26+233.51+235.55+235.77+236.4+135.58+590.95+144.85+152.14+236.18+148.77+157.58+152.21+236.4+156.98+236.4+151.19+157.6</f>
        <v>5943.1900000000005</v>
      </c>
      <c r="I29" s="34">
        <f>157.6+236.4+229.83+590.69+220.09+50.5+157.6+235.91-157.06+68.25+155.78+10.51+220.64+157.6+236.1+145.81+157.42+152.24+157.6+236.4+232.63+234.82+236.03+157.6+145.39+236.4+220.47+146.62+141.55+235.78+157.57</f>
        <v>5564.77</v>
      </c>
      <c r="K29" s="60">
        <f>236.4+157.42+236.4+156.11+234.59+148.19+115.57+42.03+156.35+236.07+148.23+145.89+236.4+236.4+15.76+236.4+236.4+591.6+157.6+236.01+157.29+151.8+157.6+157.6+157.39+197+149.31+156.73+236.4+157.6+52.53+156.69+52.34+236.4+236.4+235.18</f>
        <v>6608.0800000000008</v>
      </c>
      <c r="M29" s="11">
        <f t="shared" si="1"/>
        <v>29677.400000000005</v>
      </c>
    </row>
    <row r="30" spans="1:13" ht="15.75" x14ac:dyDescent="0.3">
      <c r="A30" s="128" t="s">
        <v>199</v>
      </c>
      <c r="B30" s="9"/>
      <c r="C30" s="1">
        <v>0</v>
      </c>
      <c r="E30" s="34">
        <f>177.47</f>
        <v>177.47</v>
      </c>
      <c r="G30" s="34">
        <v>0</v>
      </c>
      <c r="I30" s="34">
        <v>0</v>
      </c>
      <c r="K30" s="60">
        <v>0</v>
      </c>
      <c r="M30" s="11">
        <f t="shared" si="1"/>
        <v>177.47</v>
      </c>
    </row>
    <row r="31" spans="1:13" ht="15.75" x14ac:dyDescent="0.3">
      <c r="A31" s="128" t="s">
        <v>162</v>
      </c>
      <c r="B31" s="9"/>
      <c r="C31" s="1">
        <f>80.77+91.2+29.89+3.54+2.27+18.21+118.39+83.48+97.83+135.36</f>
        <v>660.94</v>
      </c>
      <c r="E31" s="34">
        <f>2.58+97.78+101.12+56.7+20.85+135.36+91.35+63.25+134.09+132.77+33.87+130.59</f>
        <v>1000.3100000000001</v>
      </c>
      <c r="G31" s="34">
        <f>120.48+23.89+132.48+121.2+105.3+60.03+135.36</f>
        <v>698.74</v>
      </c>
      <c r="I31" s="34">
        <f>15.65+132.57+70+96.62+65.2+135.36+102.29+126.6+130.76+26.71</f>
        <v>901.7600000000001</v>
      </c>
      <c r="K31" s="60">
        <f>122.37+112.03+92.01+107.7+0.86+105.7+81.68+124.03+135.36</f>
        <v>881.74000000000012</v>
      </c>
      <c r="M31" s="11">
        <f t="shared" si="1"/>
        <v>4143.49</v>
      </c>
    </row>
    <row r="32" spans="1:13" ht="15.75" x14ac:dyDescent="0.3">
      <c r="A32" s="128" t="s">
        <v>165</v>
      </c>
      <c r="B32" s="9"/>
      <c r="C32" s="1">
        <f>800+400+400+300+1000+300+600</f>
        <v>3800</v>
      </c>
      <c r="E32" s="34">
        <f>50+900+900+400+300+100+1000+300</f>
        <v>3950</v>
      </c>
      <c r="G32" s="34">
        <f>1000+1000+400+146.63+900+400</f>
        <v>3846.63</v>
      </c>
      <c r="I32" s="34">
        <f>900+200+400+222+300+500+500+100+400+800</f>
        <v>4322</v>
      </c>
      <c r="K32" s="60">
        <f>500+300+300+1000+1000+1000+1000</f>
        <v>5100</v>
      </c>
      <c r="M32" s="11">
        <f t="shared" si="1"/>
        <v>21018.63</v>
      </c>
    </row>
    <row r="33" spans="1:13" ht="15.75" x14ac:dyDescent="0.3">
      <c r="A33" s="128" t="s">
        <v>211</v>
      </c>
      <c r="B33" s="9"/>
      <c r="C33" s="1">
        <f>-15.76-47.47-50.58-365.09-115.27-87.5-15.76-133.34</f>
        <v>-830.77</v>
      </c>
      <c r="E33" s="34">
        <f>-119.51-145.57-13.84-21.88-21.9-68.41-358.32-127.5</f>
        <v>-876.92999999999984</v>
      </c>
      <c r="G33" s="34">
        <f>-361.2-42.08-29.56-33.22-13.51-145.57-119.51</f>
        <v>-744.64999999999986</v>
      </c>
      <c r="I33" s="34">
        <f>-66.48-98.23-56.59-38.38</f>
        <v>-259.68</v>
      </c>
      <c r="K33" s="60">
        <f>-44.63-107.73-56.18-19.24-361.2-99.74-145.57-125.8</f>
        <v>-960.08999999999992</v>
      </c>
      <c r="M33" s="11">
        <f t="shared" si="1"/>
        <v>-3672.119999999999</v>
      </c>
    </row>
    <row r="34" spans="1:13" ht="15.75" x14ac:dyDescent="0.3">
      <c r="A34" s="128" t="s">
        <v>212</v>
      </c>
      <c r="B34" s="9"/>
      <c r="C34" s="1">
        <f>-80.22-137.8-0.08-119.4-13.52-128.74-0.14-137.11-0.14-124.82-69.5-0.33-74.66-77.94-0.76-135.94-0.74-246.92-121.88-299.18-304.31-93.18-0.47-132.62-79.43-0.52-0.16-130.45-482.92-118.73-371.03-167.06-69.4-74.57-89.69-348.15-71.66-132.54-246.92-89.96-104.36-119.93-385.92-72.31-77.83</f>
        <v>-5533.94</v>
      </c>
      <c r="E34" s="34">
        <f>-133.17-82.92-107.58-79.58-79.11-130.13-98.63-74.62-374.52-146.17-78.03-128.85-80.47-395.99-90.89-195.06-257-138.89-140.72-136.98-138.03-133.48-74.41-79.78-72.1-132.56-257.03-131.24-332.42-92.64-103.41-158.23-72.49-135.81-513.01-134.19-381.1-119.83</f>
        <v>-6011.07</v>
      </c>
      <c r="G34" s="34">
        <f>-93.67-75.22-148.64-107.6-75.63-73.12-75.83-14.12-269.67-130.51-290.3-83.33-6.74+149.61-62.53-150.5-513.01-72.57-374.52-75.66-395.99-73.05-75.63-133.8-132.27-194.61-76.6-57.76-126.16-275.7-140.72-147.42</f>
        <v>-4373.2700000000004</v>
      </c>
      <c r="I34" s="34">
        <f>-93.67-71.05-140.04-138.36-374.93-128.63-106.25-80.6-151.92-75.88-60.02-104.52-45.37-357.04-75.64-314.21-133.4-148.86-140.66-284.26-85.35-134.42-395.99-156.23-108.6-148.28-141.04-147.03-132.84-80.6-74.1-75.56</f>
        <v>-4705.3500000000013</v>
      </c>
      <c r="K34" s="60">
        <f>-138.07-79.16-147.99-84.83-137.99-308.87-92.89-136.46-147.76-85.02-107.49-141.15-381.1-17.5-138.71-139.82-374.76-81.17-134.16-90.97-90.47-108.6-267.03-84.89-183.14-129.65-75.53-130.13-513.01-262.44-269.41-29.4-133.56-374.52-395.99-150.76</f>
        <v>-6164.4</v>
      </c>
      <c r="M34" s="11">
        <f t="shared" si="1"/>
        <v>-26788.03</v>
      </c>
    </row>
    <row r="35" spans="1:13" ht="15.75" x14ac:dyDescent="0.3">
      <c r="A35" s="128" t="s">
        <v>63</v>
      </c>
      <c r="B35" s="9"/>
      <c r="C35" s="1">
        <f>-368.32-366.76-258.54-668.43-504.73-311.87-1000.25-153.69</f>
        <v>-3632.5899999999997</v>
      </c>
      <c r="E35" s="34">
        <f>-362.15-362.15-368.32-366.76-258.54-504.73-1000.25</f>
        <v>-3222.8999999999996</v>
      </c>
      <c r="G35" s="34">
        <f>-1000.25-366.76-258.54-668.43-635.01-362.15-153.69</f>
        <v>-3444.83</v>
      </c>
      <c r="I35" s="34">
        <f>-368.32-362.15-153.69-504.73-701.85</f>
        <v>-2090.7400000000002</v>
      </c>
      <c r="K35" s="60">
        <f>-668.43-311.87-362.15-1000.25-1000.25</f>
        <v>-3342.95</v>
      </c>
      <c r="M35" s="11">
        <f t="shared" si="1"/>
        <v>-15734.009999999998</v>
      </c>
    </row>
    <row r="36" spans="1:13" ht="15.75" x14ac:dyDescent="0.3">
      <c r="A36" s="128" t="s">
        <v>118</v>
      </c>
      <c r="B36" s="9"/>
      <c r="C36" s="1">
        <f>-499.78-253.43-125.99</f>
        <v>-879.2</v>
      </c>
      <c r="E36" s="34">
        <f>-1.99-403.3</f>
        <v>-405.29</v>
      </c>
      <c r="G36" s="34">
        <f>-51.98-1.99</f>
        <v>-53.97</v>
      </c>
      <c r="I36" s="34">
        <f>-321.23-1.99-1.99-1.99-274.84</f>
        <v>-602.04</v>
      </c>
      <c r="K36" s="60">
        <f>-368.32-190.1-580.16-457.53-479.35</f>
        <v>-2075.46</v>
      </c>
      <c r="M36" s="11">
        <f t="shared" si="1"/>
        <v>-4015.96</v>
      </c>
    </row>
    <row r="37" spans="1:13" ht="15.75" x14ac:dyDescent="0.3">
      <c r="A37" s="128" t="s">
        <v>87</v>
      </c>
      <c r="B37" s="9"/>
      <c r="C37" s="1">
        <f>-24.26-24.26-24.26-22.82-44.11-26.64-60.91-22.82</f>
        <v>-250.07999999999996</v>
      </c>
      <c r="E37" s="34">
        <f>-22.82-24.26-24.26-24.16-24.26-22.82-44.11-24.26-26.64-60.91</f>
        <v>-298.5</v>
      </c>
      <c r="G37" s="34">
        <f>-24.26-24.26-22.82-24.26-26.64-24.26-22.82</f>
        <v>-169.32</v>
      </c>
      <c r="I37" s="34">
        <f>-49.4-24.26-24.26-24.26-22.82-26.64-60.91-44.11-22.82</f>
        <v>-299.47999999999996</v>
      </c>
      <c r="K37" s="60">
        <f>-24.26-24.26-24.26-24.26-26.64-60.91-56.85-24.26-22.82-22.82-22.82-22.82-49.4-24.26-22.82-24.26</f>
        <v>-477.71999999999991</v>
      </c>
      <c r="M37" s="11">
        <f t="shared" si="1"/>
        <v>-1495.1</v>
      </c>
    </row>
    <row r="38" spans="1:13" ht="15.75" x14ac:dyDescent="0.3">
      <c r="A38" s="128" t="s">
        <v>171</v>
      </c>
      <c r="B38" s="9"/>
      <c r="C38" s="1">
        <v>0</v>
      </c>
      <c r="E38" s="34">
        <v>0</v>
      </c>
      <c r="G38" s="34">
        <v>0</v>
      </c>
      <c r="I38" s="34">
        <f>-82.34-26.27-40.43-36.67-40.43-49.3-28.33-44.4-26.27-30-28.33-101.52-26.27-73.52-46.67-30-38.04-71.67-26.67-40.43</f>
        <v>-887.55999999999972</v>
      </c>
      <c r="K38" s="60">
        <f>-38.04-133.33-43.33-101.52-28.33-40-40.43-38.04-26.27-26.27-28.33-40.43-40.43</f>
        <v>-624.74999999999989</v>
      </c>
      <c r="M38" s="11">
        <f t="shared" si="1"/>
        <v>-1512.3099999999995</v>
      </c>
    </row>
    <row r="39" spans="1:13" ht="15.75" x14ac:dyDescent="0.3">
      <c r="A39" s="128" t="s">
        <v>163</v>
      </c>
      <c r="B39" s="9"/>
      <c r="C39" s="1">
        <f>-0.17-0.62-0.75-0.2-0.48-0.55-0.52-0.29-0.31-0.76-0.28-0.19-0.31-0.25-0.4-0.38-0.17-1.18-0.27-0.43-0.05-0.21-0.77-0.01-0.92-0.54-0.66-0.21-0.35-0.16-0.69-0.79-0.4-0.7-0.04-0.44-0.99-0.95-0.51-0.1-0.52-0.35-0.58-0.3-0.49-0.23-0.48-0.6-0.63-0.52-0.4-0.93-0.64-0.31-0.04-0.75-0.38-0.77-0.72-0.96-0.65-0.36-0.62-0.19-0.81-0.34-0.94-0.27-0.75-0.24-0.64-0.91-0.7-0.06-0.61</f>
        <v>-36.69</v>
      </c>
      <c r="E39" s="34">
        <f>0.02-0.04-0.44-0.7-0.37-0.66-0.03-0.44-0.02-0.92-0.71-0.89-0.69-0.8-0.1-0.3-0.67-0.71-0.65-0.46-0.75-0.46-0.33-0.35-0.57-0.35-0.73-0.97-0.37-0.81-0.77-0.08-0.74-1.46-0.52-0.81-0.21-0.38-0.9-0.6-0.05</f>
        <v>-21.79</v>
      </c>
      <c r="G39" s="34">
        <f>-0.38-0.27-0.89-0.64-0.59-0.38-0.11-0.57-0.72-0.8-0.13-0.82-0.1-0.82-0.92-0.59-0.76-0.22-0.14-0.41-0.37-0.84-0.43-0.84-0.23-0.51-0.48-0.9-0.45-0.15-0.84-0.46</f>
        <v>-16.760000000000002</v>
      </c>
      <c r="I39" s="34">
        <f>-0.07-0.36-0.24-0.25-0.18-0.35-0.11-0.89-0.68-0.75-0.02-0.31-0.46-0.24-0.73-0.31-0.94-0.94-0.47-0.65-0.36-0.94</f>
        <v>-10.25</v>
      </c>
      <c r="K39" s="60">
        <f>-0.76-0.83-0.19-0.35-0.13-0.13-0.76-0.67-0.95-0.01-0.5-0.66-0.68-0.26-12-0.48-0.64-0.67-0.83-0.76-0.31-0.22-0.45-0.62-0.77-0.35-0.57-0.45-0.64-0.92-0.4-0.36-0.08-0.22-0.75-0.22-0.16-0.5-0.75-0.04-0.58-0.03</f>
        <v>-31.649999999999995</v>
      </c>
      <c r="M39" s="11">
        <f t="shared" si="1"/>
        <v>-117.13999999999999</v>
      </c>
    </row>
    <row r="40" spans="1:13" ht="15.75" x14ac:dyDescent="0.3">
      <c r="A40" s="128" t="s">
        <v>161</v>
      </c>
      <c r="B40" s="9"/>
      <c r="C40" s="1">
        <f>-2.8-5.73-255.78-2.83-0.54-0.61-24.25-120.89-11.27-16.39-4.64-44.4-2.69-98.15-0.99-22.87-9.48-39.49-3.25-1.9-5.44-393.44-22.99</f>
        <v>-1090.82</v>
      </c>
      <c r="E40" s="34">
        <f>70.98-43.95-38.4-60.5-25.81-8.13-2.03-5.37-23.5-38.75-13.14-40.43-2.22-26.58-51.35-7.27-6.02-19.6-10.29-5.73-80.05-103.08-7.41-49.34</f>
        <v>-597.97000000000014</v>
      </c>
      <c r="G40" s="34">
        <f>-4.41-2.36-200.33-0.11-26.25-0.47-0.57-12.88-3.68-86-8.11-1.68+190.59-16.28-4.38-3.04-195.58-1.61-68.77-38.1-1.08-50.44-0.11-26.97-3.12-32.06</f>
        <v>-597.80000000000018</v>
      </c>
      <c r="I40" s="34">
        <f>-60.89-33.69-2.83-14.15-2.29-104.72-2.82-9.82-2.69-2.74-0.15-2.98+147.37-54.91-81.74-9.21-1.89-7.61-19.34-26.79-0.9</f>
        <v>-294.78999999999996</v>
      </c>
      <c r="K40" s="60">
        <f>-0.9-7.45-9.3-128.32-6.75-1.68-50.54-6.47-1.9-0.08-1.75-29.01-1.07-47.35-4.37-7.5-1.6-6.27</f>
        <v>-312.31</v>
      </c>
      <c r="M40" s="11">
        <f t="shared" si="1"/>
        <v>-2893.69</v>
      </c>
    </row>
    <row r="41" spans="1:13" ht="15.75" x14ac:dyDescent="0.3">
      <c r="A41" s="128" t="s">
        <v>181</v>
      </c>
      <c r="B41" s="9"/>
      <c r="C41" s="1">
        <f>2000</f>
        <v>2000</v>
      </c>
      <c r="E41" s="34">
        <f>2000</f>
        <v>2000</v>
      </c>
      <c r="G41" s="34">
        <v>0</v>
      </c>
      <c r="I41" s="34">
        <v>0</v>
      </c>
      <c r="K41" s="60">
        <v>0</v>
      </c>
      <c r="M41" s="11">
        <f t="shared" si="1"/>
        <v>4000</v>
      </c>
    </row>
    <row r="42" spans="1:13" ht="15.75" x14ac:dyDescent="0.3">
      <c r="A42" s="128" t="s">
        <v>65</v>
      </c>
      <c r="B42" s="9"/>
      <c r="C42" s="1">
        <f>4000+2000+1522.75+3045.5+1750+787.5+606.45+252.69+850+425+66.66+0.12+14.3+25+25+15.22</f>
        <v>15386.19</v>
      </c>
      <c r="E42" s="34">
        <v>0</v>
      </c>
      <c r="G42" s="34">
        <v>0</v>
      </c>
      <c r="I42" s="34">
        <v>0</v>
      </c>
      <c r="K42" s="60">
        <v>0</v>
      </c>
      <c r="M42" s="11">
        <f t="shared" si="1"/>
        <v>15386.19</v>
      </c>
    </row>
    <row r="43" spans="1:13" ht="15.75" x14ac:dyDescent="0.3">
      <c r="A43" s="128" t="s">
        <v>186</v>
      </c>
      <c r="B43" s="9"/>
      <c r="C43" s="1">
        <f>-2193.24-1776.34-898.18-342.98-514.56</f>
        <v>-5725.2999999999993</v>
      </c>
      <c r="E43" s="34">
        <v>0</v>
      </c>
      <c r="G43" s="34">
        <v>0</v>
      </c>
      <c r="I43" s="34">
        <v>0</v>
      </c>
      <c r="K43" s="60">
        <v>0</v>
      </c>
      <c r="M43" s="11">
        <f t="shared" si="1"/>
        <v>-5725.2999999999993</v>
      </c>
    </row>
    <row r="44" spans="1:13" ht="16.5" x14ac:dyDescent="0.3">
      <c r="A44" s="106" t="s">
        <v>185</v>
      </c>
      <c r="B44" s="9"/>
      <c r="C44" s="1">
        <f>-213.22-141.2-1.19-4.56-0.05-18.75-2.04-0.44</f>
        <v>-381.45</v>
      </c>
      <c r="E44" s="34">
        <f>-715.85</f>
        <v>-715.85</v>
      </c>
      <c r="G44" s="34">
        <v>0</v>
      </c>
      <c r="I44" s="34">
        <v>0</v>
      </c>
      <c r="K44" s="60">
        <v>0</v>
      </c>
      <c r="M44" s="11">
        <f t="shared" si="1"/>
        <v>-1097.3</v>
      </c>
    </row>
    <row r="45" spans="1:13" ht="15.75" x14ac:dyDescent="0.3">
      <c r="A45" s="128" t="s">
        <v>193</v>
      </c>
      <c r="B45" s="9"/>
      <c r="C45" s="1">
        <f>-482.92-392.39-178.37-64.93-82.35-6.01-0.13-0.09-3.14-2-1.67-2.29-0.27-0.76-0.41-0.13-0.07-1.3-0.36</f>
        <v>-1219.5899999999999</v>
      </c>
      <c r="E45" s="34">
        <f>-0.54-0.79-470.75-266.7-26.63</f>
        <v>-765.41</v>
      </c>
      <c r="G45" s="34">
        <v>0</v>
      </c>
      <c r="I45" s="34">
        <v>0</v>
      </c>
      <c r="K45" s="60">
        <v>0</v>
      </c>
      <c r="M45" s="11">
        <f t="shared" si="1"/>
        <v>-1985</v>
      </c>
    </row>
    <row r="46" spans="1:13" ht="15.75" x14ac:dyDescent="0.3">
      <c r="A46" s="128" t="s">
        <v>64</v>
      </c>
      <c r="B46" s="9"/>
      <c r="C46" s="1">
        <v>0</v>
      </c>
      <c r="E46" s="34">
        <f>1558.96</f>
        <v>1558.96</v>
      </c>
      <c r="G46" s="34">
        <f>5716.11+1853.65</f>
        <v>7569.76</v>
      </c>
      <c r="I46" s="34">
        <f>1609.34</f>
        <v>1609.34</v>
      </c>
      <c r="K46" s="60">
        <f>3808.4+3162.31+2251.18+712.79</f>
        <v>9934.68</v>
      </c>
      <c r="M46" s="11">
        <f t="shared" si="1"/>
        <v>20672.740000000002</v>
      </c>
    </row>
    <row r="47" spans="1:13" ht="15.75" x14ac:dyDescent="0.3">
      <c r="A47" s="128" t="s">
        <v>151</v>
      </c>
      <c r="B47" s="9"/>
      <c r="C47" s="1">
        <v>0</v>
      </c>
      <c r="E47" s="34">
        <v>0</v>
      </c>
      <c r="G47" s="34">
        <f>5750.23+842.6</f>
        <v>6592.83</v>
      </c>
      <c r="I47" s="34">
        <f>1113.09</f>
        <v>1113.0899999999999</v>
      </c>
      <c r="K47" s="60">
        <f>564.22+1092.37+1173.39+3398.24</f>
        <v>6228.2199999999993</v>
      </c>
      <c r="M47" s="11">
        <f t="shared" si="1"/>
        <v>13934.14</v>
      </c>
    </row>
    <row r="48" spans="1:13" ht="15.75" x14ac:dyDescent="0.3">
      <c r="A48" s="128" t="s">
        <v>170</v>
      </c>
      <c r="B48" s="9"/>
      <c r="C48" s="1">
        <f>1471.03+3092.96+1212.9+121.59+132.51+1955.66+850</f>
        <v>8836.65</v>
      </c>
      <c r="E48" s="34">
        <f>2684.96+1212.9+1891.67+157.87+1479+838.1</f>
        <v>8264.5</v>
      </c>
      <c r="G48" s="34">
        <f>1425.37+1565.74+1553.88+3803.62+1132.04+1361.67+793.33+2180.85</f>
        <v>13816.500000000002</v>
      </c>
      <c r="I48" s="34">
        <f>3615.64+2470.2+2876.61+5721.27+1748.71+80.86+733.33-793.33+203.03+71.67+56.67</f>
        <v>16784.659999999996</v>
      </c>
      <c r="K48" s="60">
        <v>0</v>
      </c>
      <c r="M48" s="11">
        <f t="shared" si="1"/>
        <v>47702.31</v>
      </c>
    </row>
    <row r="49" spans="1:13" ht="15.75" x14ac:dyDescent="0.3">
      <c r="A49" s="128" t="s">
        <v>169</v>
      </c>
      <c r="B49" s="9"/>
      <c r="C49" s="1">
        <f>-1176.46-1955.66-1249.01</f>
        <v>-4381.13</v>
      </c>
      <c r="E49" s="34">
        <f>-1471.03-3092.96-157.87</f>
        <v>-4721.8599999999997</v>
      </c>
      <c r="G49" s="34">
        <f>-1461.36-1765.55-1395.09</f>
        <v>-4622</v>
      </c>
      <c r="I49" s="34">
        <f>-3615.64-126.12-1435.78-1450.28-253.57-1289.87</f>
        <v>-8171.2599999999993</v>
      </c>
      <c r="K49" s="60">
        <f>-3550.05-1748.71-5721.27-1958.54-104.38</f>
        <v>-13082.949999999999</v>
      </c>
      <c r="M49" s="11">
        <f t="shared" si="1"/>
        <v>-34979.199999999997</v>
      </c>
    </row>
    <row r="50" spans="1:13" x14ac:dyDescent="0.25">
      <c r="A50" s="129" t="s">
        <v>229</v>
      </c>
      <c r="B50" s="9"/>
      <c r="C50" s="1">
        <f>319.69+144.8+64.27+750+144.8+325+120.84+72.4+0.76+0.58+99.69+81.5+72.4+0.66+210.65+166.28+144.8+0.7+7.43+103.89+120.67+0.75+3.79+52.59+54.3+0.82+46.47+86.39+72.4+0.2+18.92+41.2+30.17+0.02+0.44+72.4+8.01+9.15+0.51+144.8+16.01+18.59+1.39+2.76+2.62+2.85+0.35+537.27+144.8+16.01+18.59+144.8+343.13+83.33+0.45+25+3.35+9.44+5.12+1.46+0.86+16.21+3.29</f>
        <v>4992.8200000000015</v>
      </c>
      <c r="E50" s="34">
        <f>4.49+1.55+503.62+144.8+97.18+55.98+1069.89+747.57+52.3+930.8+606.14+423.62+28.72+527.99</f>
        <v>5194.6500000000005</v>
      </c>
      <c r="G50" s="34">
        <f>96.05+6.39+220.64+485.04+577.81+91.71+26.71+253.33+8.1+0.13+2.74+401.47+135.15+85.37+190.56+11.94+0.92+4.29</f>
        <v>2598.35</v>
      </c>
      <c r="I50" s="34">
        <f>1139.69+236.4+32.11+680.37+6.86+0.46+15.76+34.65+388.89+14.49+105.07+413.93+19.44+0.72+5.25+36.67+20.69+194.44+60.42+147.09+398.43+10.39+6.89+15.76+78.69+304.11+0.07+4.28+1.45+0.14+0.42+13.33+1.41+4.83+30.41+133.34+14.06+48.26+716.67+28.68+9.65+6.1+13.61+0.86+0.06+0.3</f>
        <v>5395.6</v>
      </c>
      <c r="K50" s="60">
        <f>56.67+13.89+4.32+10.51+28.46+1101.68+220.64+96.52+145.42+2842.47+1141.07+51.35+12.42+236.4+480.41+2666.67+411.11+105.07+1060.95+216.24+530.47+1333.33+52.53+205.56+25.5+43.33+5.25+0.14+27.78+510.04+105.07+2.82+555.55+866.67+0.94</f>
        <v>15167.25</v>
      </c>
      <c r="M50" s="11">
        <f t="shared" si="1"/>
        <v>33348.67</v>
      </c>
    </row>
    <row r="51" spans="1:13" ht="16.5" x14ac:dyDescent="0.3">
      <c r="A51" s="106" t="s">
        <v>168</v>
      </c>
      <c r="B51" s="9"/>
      <c r="C51" s="1">
        <v>0</v>
      </c>
      <c r="E51" s="34">
        <v>0</v>
      </c>
      <c r="G51" s="34">
        <f>-26.9-0.82</f>
        <v>-27.72</v>
      </c>
      <c r="I51" s="34">
        <f>-309.93-22.93-1.42</f>
        <v>-334.28000000000003</v>
      </c>
      <c r="K51" s="60">
        <f>-321.02-172.94-177.61</f>
        <v>-671.56999999999994</v>
      </c>
      <c r="M51" s="11">
        <f t="shared" si="1"/>
        <v>-1033.57</v>
      </c>
    </row>
    <row r="52" spans="1:13" ht="15.75" x14ac:dyDescent="0.3">
      <c r="A52" s="128" t="s">
        <v>66</v>
      </c>
      <c r="B52" s="9"/>
      <c r="C52" s="1">
        <f>-102.3-193.41-123.52</f>
        <v>-419.22999999999996</v>
      </c>
      <c r="E52" s="34">
        <f>-181.3</f>
        <v>-181.3</v>
      </c>
      <c r="G52" s="34">
        <f>-144.52-0.85-174.61-1.78-254.23-31.26</f>
        <v>-607.25</v>
      </c>
      <c r="I52" s="34">
        <f>-501.46-149.01-72.97-12.47-143.43-5.68-0.42-34.2-13.38</f>
        <v>-933.0200000000001</v>
      </c>
      <c r="K52" s="60">
        <f>-13.43-10.25-103.6-12.49-478.81-466.81-183.61-70.49-10.33</f>
        <v>-1349.82</v>
      </c>
      <c r="M52" s="11">
        <f t="shared" si="1"/>
        <v>-3490.62</v>
      </c>
    </row>
    <row r="53" spans="1:13" ht="15.75" x14ac:dyDescent="0.3">
      <c r="A53" s="128" t="s">
        <v>198</v>
      </c>
      <c r="B53" s="9"/>
      <c r="C53" s="1">
        <v>0</v>
      </c>
      <c r="E53" s="34">
        <f>-2000</f>
        <v>-2000</v>
      </c>
      <c r="G53" s="34">
        <v>0</v>
      </c>
      <c r="I53" s="34">
        <v>0</v>
      </c>
      <c r="K53" s="60">
        <v>0</v>
      </c>
      <c r="M53" s="11">
        <f t="shared" si="1"/>
        <v>-2000</v>
      </c>
    </row>
    <row r="54" spans="1:13" s="32" customFormat="1" ht="15.75" x14ac:dyDescent="0.3">
      <c r="A54" s="118" t="s">
        <v>32</v>
      </c>
      <c r="C54" s="81">
        <f>SUM(C18:C53)</f>
        <v>66033.065000000017</v>
      </c>
      <c r="E54" s="81">
        <f>SUM(E18:E53)</f>
        <v>62022.750000000007</v>
      </c>
      <c r="G54" s="81">
        <f>SUM(G18:G53)</f>
        <v>70786.740000000005</v>
      </c>
      <c r="I54" s="81">
        <f>SUM(I18:I53)</f>
        <v>56886.269999999982</v>
      </c>
      <c r="K54" s="81">
        <f>SUM(K18:K53)</f>
        <v>66308.850000000006</v>
      </c>
      <c r="M54" s="79">
        <f>SUM(C54+E54+G54+I54+K54)</f>
        <v>322037.67500000005</v>
      </c>
    </row>
    <row r="55" spans="1:13" ht="15.75" x14ac:dyDescent="0.3">
      <c r="A55" s="127" t="s">
        <v>174</v>
      </c>
      <c r="B55" s="9"/>
      <c r="C55" s="1"/>
      <c r="E55" s="34"/>
      <c r="G55" s="34"/>
      <c r="I55" s="34"/>
      <c r="K55" s="60"/>
      <c r="M55" s="76"/>
    </row>
    <row r="56" spans="1:13" ht="15.75" x14ac:dyDescent="0.3">
      <c r="A56" s="130" t="s">
        <v>175</v>
      </c>
      <c r="B56" s="9"/>
      <c r="C56" s="1">
        <f>2400</f>
        <v>2400</v>
      </c>
      <c r="E56" s="34">
        <f>1000+2400</f>
        <v>3400</v>
      </c>
      <c r="G56" s="34">
        <v>2400</v>
      </c>
      <c r="I56" s="34">
        <f>2400</f>
        <v>2400</v>
      </c>
      <c r="K56" s="60">
        <f>2400</f>
        <v>2400</v>
      </c>
      <c r="M56" s="11">
        <f>SUM(C56+E56+G56+I56+K56)</f>
        <v>13000</v>
      </c>
    </row>
    <row r="57" spans="1:13" ht="15.75" x14ac:dyDescent="0.3">
      <c r="A57" s="130" t="s">
        <v>73</v>
      </c>
      <c r="B57" s="9"/>
      <c r="C57" s="1">
        <f>724</f>
        <v>724</v>
      </c>
      <c r="E57" s="34">
        <f>788</f>
        <v>788</v>
      </c>
      <c r="G57" s="34">
        <f>788</f>
        <v>788</v>
      </c>
      <c r="I57" s="34">
        <f>788</f>
        <v>788</v>
      </c>
      <c r="K57" s="60">
        <f>788</f>
        <v>788</v>
      </c>
      <c r="M57" s="11">
        <f>SUM(C57+E57+G57+I57+K57)</f>
        <v>3876</v>
      </c>
    </row>
    <row r="58" spans="1:13" ht="15.75" x14ac:dyDescent="0.3">
      <c r="A58" s="130"/>
      <c r="B58" s="9"/>
      <c r="C58" s="1"/>
      <c r="E58" s="34"/>
      <c r="G58" s="34"/>
      <c r="I58" s="34"/>
      <c r="K58" s="60"/>
      <c r="M58" s="76"/>
    </row>
    <row r="59" spans="1:13" s="32" customFormat="1" ht="15.75" x14ac:dyDescent="0.3">
      <c r="A59" s="118" t="s">
        <v>32</v>
      </c>
      <c r="C59" s="81">
        <f>SUM(C56:C58)</f>
        <v>3124</v>
      </c>
      <c r="E59" s="81">
        <f>SUM(E56:E58)</f>
        <v>4188</v>
      </c>
      <c r="G59" s="81">
        <f>SUM(G56:G58)</f>
        <v>3188</v>
      </c>
      <c r="I59" s="81">
        <f>SUM(I56:I58)</f>
        <v>3188</v>
      </c>
      <c r="K59" s="81">
        <f>SUM(K56:K57)</f>
        <v>3188</v>
      </c>
      <c r="M59" s="79">
        <f>SUM(M56:M58)</f>
        <v>16876</v>
      </c>
    </row>
    <row r="60" spans="1:13" s="32" customFormat="1" ht="18" x14ac:dyDescent="0.35">
      <c r="A60" s="131" t="s">
        <v>213</v>
      </c>
      <c r="B60" s="9"/>
      <c r="C60" s="69"/>
      <c r="E60" s="69"/>
      <c r="G60" s="69"/>
      <c r="I60" s="69"/>
      <c r="K60" s="69"/>
      <c r="M60" s="76"/>
    </row>
    <row r="61" spans="1:13" s="32" customFormat="1" ht="16.5" x14ac:dyDescent="0.3">
      <c r="A61" s="132" t="s">
        <v>214</v>
      </c>
      <c r="B61" s="9"/>
      <c r="C61" s="60">
        <f>7428.99</f>
        <v>7428.99</v>
      </c>
      <c r="D61" s="61"/>
      <c r="E61" s="1">
        <f>7766.99+7600.76</f>
        <v>15367.75</v>
      </c>
      <c r="F61" s="61"/>
      <c r="G61" s="60">
        <v>0</v>
      </c>
      <c r="H61" s="61"/>
      <c r="I61" s="60"/>
      <c r="J61" s="61"/>
      <c r="K61" s="60">
        <f>6051.96</f>
        <v>6051.96</v>
      </c>
      <c r="M61" s="76">
        <f>SUM(C61+E61+G61+I61+K61)</f>
        <v>28848.699999999997</v>
      </c>
    </row>
    <row r="62" spans="1:13" s="32" customFormat="1" ht="16.5" x14ac:dyDescent="0.3">
      <c r="A62" s="132" t="s">
        <v>215</v>
      </c>
      <c r="B62" s="9"/>
      <c r="C62" s="60">
        <f>6005.62</f>
        <v>6005.62</v>
      </c>
      <c r="D62" s="61"/>
      <c r="E62" s="60">
        <f>5901.09+8616.91</f>
        <v>14518</v>
      </c>
      <c r="F62" s="61"/>
      <c r="G62" s="60">
        <v>0</v>
      </c>
      <c r="H62" s="61"/>
      <c r="I62" s="60">
        <f>8793.35+6116.57+5851.22</f>
        <v>20761.14</v>
      </c>
      <c r="J62" s="61"/>
      <c r="K62" s="60">
        <f>6177.85</f>
        <v>6177.85</v>
      </c>
      <c r="M62" s="76">
        <f t="shared" ref="M62:M66" si="2">SUM(C62+E62+G62+I62+K62)</f>
        <v>47462.609999999993</v>
      </c>
    </row>
    <row r="63" spans="1:13" s="32" customFormat="1" ht="16.5" x14ac:dyDescent="0.3">
      <c r="A63" s="132" t="s">
        <v>216</v>
      </c>
      <c r="B63" s="9"/>
      <c r="C63" s="60">
        <v>0</v>
      </c>
      <c r="D63" s="61"/>
      <c r="E63" s="60">
        <f>5678.94+5702.34</f>
        <v>11381.279999999999</v>
      </c>
      <c r="F63" s="61"/>
      <c r="G63" s="60">
        <v>0</v>
      </c>
      <c r="H63" s="61"/>
      <c r="I63" s="60">
        <f>927.87+5059.06+6011.62</f>
        <v>11998.55</v>
      </c>
      <c r="J63" s="61"/>
      <c r="K63" s="60">
        <f>10697.88</f>
        <v>10697.88</v>
      </c>
      <c r="M63" s="76">
        <f t="shared" si="2"/>
        <v>34077.71</v>
      </c>
    </row>
    <row r="64" spans="1:13" s="32" customFormat="1" ht="16.5" x14ac:dyDescent="0.3">
      <c r="A64" s="132" t="s">
        <v>217</v>
      </c>
      <c r="B64" s="9"/>
      <c r="C64" s="60">
        <v>0</v>
      </c>
      <c r="D64" s="61"/>
      <c r="E64" s="60">
        <f>575.39+535.85</f>
        <v>1111.24</v>
      </c>
      <c r="F64" s="61"/>
      <c r="G64" s="60">
        <v>0</v>
      </c>
      <c r="H64" s="61"/>
      <c r="I64" s="60">
        <f>680.59+693.24+305.92+161.8</f>
        <v>1841.55</v>
      </c>
      <c r="J64" s="61"/>
      <c r="K64" s="60">
        <f>731.81</f>
        <v>731.81</v>
      </c>
      <c r="M64" s="76">
        <f t="shared" si="2"/>
        <v>3684.6</v>
      </c>
    </row>
    <row r="65" spans="1:13" s="32" customFormat="1" ht="16.5" x14ac:dyDescent="0.3">
      <c r="A65" s="132" t="s">
        <v>218</v>
      </c>
      <c r="B65" s="9"/>
      <c r="C65" s="60">
        <v>0</v>
      </c>
      <c r="D65" s="61"/>
      <c r="E65" s="60">
        <f>1084.35+1089.08</f>
        <v>2173.4299999999998</v>
      </c>
      <c r="F65" s="61"/>
      <c r="G65" s="60">
        <v>0</v>
      </c>
      <c r="H65" s="61"/>
      <c r="I65" s="60">
        <f>1053.44+1175.03+2770.74+1497.1</f>
        <v>6496.3099999999995</v>
      </c>
      <c r="J65" s="61"/>
      <c r="K65" s="60">
        <f>1316.74</f>
        <v>1316.74</v>
      </c>
      <c r="M65" s="76">
        <f t="shared" si="2"/>
        <v>9986.48</v>
      </c>
    </row>
    <row r="66" spans="1:13" s="32" customFormat="1" ht="16.5" x14ac:dyDescent="0.3">
      <c r="A66" s="132" t="s">
        <v>219</v>
      </c>
      <c r="B66" s="9"/>
      <c r="C66" s="60">
        <v>0</v>
      </c>
      <c r="D66" s="61"/>
      <c r="E66" s="60">
        <f>834.19+891.21</f>
        <v>1725.4</v>
      </c>
      <c r="F66" s="61"/>
      <c r="G66" s="60">
        <v>0</v>
      </c>
      <c r="H66" s="61"/>
      <c r="I66" s="60">
        <f>1579.51+812.18+854.57+824.01</f>
        <v>4070.2700000000004</v>
      </c>
      <c r="J66" s="61"/>
      <c r="K66" s="60">
        <f>893.49</f>
        <v>893.49</v>
      </c>
      <c r="M66" s="76">
        <f t="shared" si="2"/>
        <v>6689.16</v>
      </c>
    </row>
    <row r="67" spans="1:13" s="32" customFormat="1" ht="18" x14ac:dyDescent="0.35">
      <c r="A67" s="133" t="s">
        <v>32</v>
      </c>
      <c r="B67" s="3"/>
      <c r="C67" s="81">
        <f>SUM(C61:C66)</f>
        <v>13434.61</v>
      </c>
      <c r="E67" s="81">
        <f>SUM(E61:E66)</f>
        <v>46277.1</v>
      </c>
      <c r="G67" s="81">
        <f>SUM(G61:G66)</f>
        <v>0</v>
      </c>
      <c r="I67" s="81">
        <f>SUM(I61:I66)</f>
        <v>45167.819999999992</v>
      </c>
      <c r="K67" s="81">
        <f>SUM(K61:K66)</f>
        <v>25869.730000000007</v>
      </c>
      <c r="M67" s="79">
        <f>SUM(C67+E67+G67+I67+K67)</f>
        <v>130749.26000000001</v>
      </c>
    </row>
    <row r="68" spans="1:13" s="32" customFormat="1" ht="16.5" x14ac:dyDescent="0.3">
      <c r="A68" s="127" t="s">
        <v>51</v>
      </c>
      <c r="B68" s="9"/>
      <c r="C68" s="69"/>
      <c r="E68" s="69"/>
      <c r="G68" s="69"/>
      <c r="I68" s="69"/>
      <c r="K68" s="69"/>
      <c r="M68" s="93">
        <v>2</v>
      </c>
    </row>
    <row r="69" spans="1:13" s="32" customFormat="1" ht="15.75" x14ac:dyDescent="0.3">
      <c r="A69" s="128" t="s">
        <v>220</v>
      </c>
      <c r="B69" s="9"/>
      <c r="C69" s="1">
        <f>547.38+552.21</f>
        <v>1099.5900000000001</v>
      </c>
      <c r="D69"/>
      <c r="E69" s="1">
        <v>556.94000000000005</v>
      </c>
      <c r="F69"/>
      <c r="G69" s="1">
        <f>561.06</f>
        <v>561.05999999999995</v>
      </c>
      <c r="H69"/>
      <c r="I69" s="1">
        <f>566.3</f>
        <v>566.29999999999995</v>
      </c>
      <c r="J69"/>
      <c r="K69" s="1">
        <f>571.08</f>
        <v>571.08000000000004</v>
      </c>
      <c r="L69"/>
      <c r="M69" s="11">
        <f t="shared" ref="M69:M71" si="3">SUM(C69+E69+G69+I69+K69)</f>
        <v>3354.9700000000003</v>
      </c>
    </row>
    <row r="70" spans="1:13" s="32" customFormat="1" ht="15.75" x14ac:dyDescent="0.3">
      <c r="A70" s="128" t="s">
        <v>221</v>
      </c>
      <c r="B70" s="9"/>
      <c r="C70" s="1">
        <v>0</v>
      </c>
      <c r="D70"/>
      <c r="E70" s="1">
        <f>602.49+602.49</f>
        <v>1204.98</v>
      </c>
      <c r="F70"/>
      <c r="G70" s="1">
        <f>607.02</f>
        <v>607.02</v>
      </c>
      <c r="H70"/>
      <c r="I70" s="1">
        <f>612.76</f>
        <v>612.76</v>
      </c>
      <c r="J70"/>
      <c r="K70" s="1">
        <f>618.01</f>
        <v>618.01</v>
      </c>
      <c r="L70"/>
      <c r="M70" s="11">
        <f t="shared" si="3"/>
        <v>3042.7700000000004</v>
      </c>
    </row>
    <row r="71" spans="1:13" s="32" customFormat="1" ht="15.75" x14ac:dyDescent="0.3">
      <c r="A71" s="128" t="s">
        <v>222</v>
      </c>
      <c r="B71" s="9"/>
      <c r="C71" s="1">
        <v>0</v>
      </c>
      <c r="D71"/>
      <c r="E71" s="1">
        <v>0</v>
      </c>
      <c r="F71"/>
      <c r="G71" s="1">
        <v>0</v>
      </c>
      <c r="H71"/>
      <c r="I71" s="1">
        <f>501.17</f>
        <v>501.17</v>
      </c>
      <c r="J71"/>
      <c r="K71" s="1">
        <f>506.18</f>
        <v>506.18</v>
      </c>
      <c r="L71"/>
      <c r="M71" s="11">
        <f t="shared" si="3"/>
        <v>1007.35</v>
      </c>
    </row>
    <row r="72" spans="1:13" s="32" customFormat="1" ht="15.75" x14ac:dyDescent="0.3">
      <c r="A72" s="134" t="s">
        <v>32</v>
      </c>
      <c r="B72" s="33"/>
      <c r="C72" s="81">
        <f>SUM(C69:C71)</f>
        <v>1099.5900000000001</v>
      </c>
      <c r="E72" s="81">
        <f>SUM(E69:E71)</f>
        <v>1761.92</v>
      </c>
      <c r="G72" s="81">
        <f>SUM(G69:G71)</f>
        <v>1168.08</v>
      </c>
      <c r="I72" s="81">
        <f>SUM(I69:I71)</f>
        <v>1680.23</v>
      </c>
      <c r="K72" s="81">
        <f>SUM(K69:K71)</f>
        <v>1695.2700000000002</v>
      </c>
      <c r="M72" s="79">
        <f>SUM(C72+E72+G72+I72+K72)</f>
        <v>7405.09</v>
      </c>
    </row>
    <row r="73" spans="1:13" ht="15.75" x14ac:dyDescent="0.3">
      <c r="A73" s="127" t="s">
        <v>223</v>
      </c>
      <c r="B73" s="9"/>
      <c r="C73" s="1"/>
      <c r="E73" s="34"/>
      <c r="G73" s="34"/>
      <c r="I73" s="34"/>
      <c r="K73" s="60"/>
      <c r="M73" s="76"/>
    </row>
    <row r="74" spans="1:13" ht="15.75" x14ac:dyDescent="0.3">
      <c r="A74" s="128" t="s">
        <v>224</v>
      </c>
      <c r="B74" s="9"/>
      <c r="C74" s="60">
        <f>5924.94</f>
        <v>5924.94</v>
      </c>
      <c r="E74" s="34">
        <v>6174.81</v>
      </c>
      <c r="G74" s="34">
        <v>6174.81</v>
      </c>
      <c r="I74" s="34">
        <f>6304.81</f>
        <v>6304.81</v>
      </c>
      <c r="K74" s="60">
        <f>6174.81</f>
        <v>6174.81</v>
      </c>
      <c r="M74" s="11">
        <f>SUM(C74+E74+G74+I74+K74)</f>
        <v>30754.180000000004</v>
      </c>
    </row>
    <row r="75" spans="1:13" ht="15.75" x14ac:dyDescent="0.3">
      <c r="A75" s="134" t="s">
        <v>32</v>
      </c>
      <c r="B75" s="32"/>
      <c r="C75" s="81">
        <f>SUM(C74)</f>
        <v>5924.94</v>
      </c>
      <c r="D75" s="32"/>
      <c r="E75" s="81">
        <f>SUM(E74)</f>
        <v>6174.81</v>
      </c>
      <c r="F75" s="32"/>
      <c r="G75" s="81">
        <f>SUM(G74)</f>
        <v>6174.81</v>
      </c>
      <c r="H75" s="32"/>
      <c r="I75" s="81">
        <f>SUM(I74)</f>
        <v>6304.81</v>
      </c>
      <c r="J75" s="32"/>
      <c r="K75" s="81">
        <f>SUM(K74)</f>
        <v>6174.81</v>
      </c>
      <c r="L75" s="32"/>
      <c r="M75" s="79">
        <f>SUM(C75+E75+G75+I75+K75)</f>
        <v>30754.180000000004</v>
      </c>
    </row>
    <row r="76" spans="1:13" ht="15.75" x14ac:dyDescent="0.3">
      <c r="A76" s="127" t="s">
        <v>68</v>
      </c>
      <c r="B76" s="9"/>
      <c r="C76" s="1"/>
      <c r="E76" s="34"/>
      <c r="G76" s="34"/>
      <c r="I76" s="34"/>
      <c r="K76" s="60"/>
      <c r="M76" s="76"/>
    </row>
    <row r="77" spans="1:13" ht="15.75" x14ac:dyDescent="0.3">
      <c r="A77" s="128" t="s">
        <v>112</v>
      </c>
      <c r="B77" s="9"/>
      <c r="C77" s="1">
        <f>10147+7480+16530</f>
        <v>34157</v>
      </c>
      <c r="E77" s="34">
        <f>1870+8569.99+8228+18810</f>
        <v>37477.99</v>
      </c>
      <c r="G77" s="34">
        <f>3038.75+15801.5+14679.5+18925.49+2337.5</f>
        <v>54782.740000000005</v>
      </c>
      <c r="I77" s="34">
        <f>5069.5+3325</f>
        <v>8394.5</v>
      </c>
      <c r="K77" s="60">
        <f>19391.13+23281.5+29452.5</f>
        <v>72125.13</v>
      </c>
      <c r="M77" s="11">
        <f>SUM(C77+E77+G77+I77+K77)</f>
        <v>206937.36</v>
      </c>
    </row>
    <row r="78" spans="1:13" ht="15.75" x14ac:dyDescent="0.3">
      <c r="A78" s="128" t="s">
        <v>69</v>
      </c>
      <c r="B78" s="9"/>
      <c r="C78" s="1">
        <f>1400+1776.5+6030.75</f>
        <v>9207.25</v>
      </c>
      <c r="E78" s="34">
        <f>5240.94+1542.75+2807.02+6451.5+3038.75+981.75+1187.5</f>
        <v>21250.21</v>
      </c>
      <c r="G78" s="34">
        <f>1447.95+4095.28</f>
        <v>5543.2300000000005</v>
      </c>
      <c r="I78" s="34">
        <f>137.9+1418.55+3440.47+4385.15+7012.5+1080.8</f>
        <v>17475.37</v>
      </c>
      <c r="K78" s="60">
        <f>5236+1702.75+1958.95</f>
        <v>8897.7000000000007</v>
      </c>
      <c r="M78" s="11">
        <f t="shared" ref="M78:M81" si="4">SUM(C78+E78+G78+I78+K78)</f>
        <v>62373.759999999995</v>
      </c>
    </row>
    <row r="79" spans="1:13" ht="15.75" x14ac:dyDescent="0.3">
      <c r="A79" s="128" t="s">
        <v>150</v>
      </c>
      <c r="B79" s="9"/>
      <c r="C79" s="1">
        <v>0</v>
      </c>
      <c r="E79" s="34">
        <v>0</v>
      </c>
      <c r="G79" s="34">
        <v>0</v>
      </c>
      <c r="I79" s="34">
        <v>0</v>
      </c>
      <c r="K79" s="60">
        <v>0</v>
      </c>
      <c r="M79" s="11">
        <f t="shared" si="4"/>
        <v>0</v>
      </c>
    </row>
    <row r="80" spans="1:13" ht="15.75" x14ac:dyDescent="0.3">
      <c r="A80" s="128" t="s">
        <v>70</v>
      </c>
      <c r="B80" s="9"/>
      <c r="C80" s="1">
        <v>0</v>
      </c>
      <c r="E80" s="34">
        <v>0</v>
      </c>
      <c r="G80" s="34">
        <v>0</v>
      </c>
      <c r="I80" s="34">
        <v>0</v>
      </c>
      <c r="K80" s="60">
        <v>0</v>
      </c>
      <c r="M80" s="11">
        <f t="shared" si="4"/>
        <v>0</v>
      </c>
    </row>
    <row r="81" spans="1:13" ht="15.75" x14ac:dyDescent="0.3">
      <c r="A81" s="128" t="s">
        <v>71</v>
      </c>
      <c r="B81" s="9"/>
      <c r="C81" s="1">
        <v>0</v>
      </c>
      <c r="E81" s="34">
        <v>0</v>
      </c>
      <c r="G81" s="34">
        <v>0</v>
      </c>
      <c r="I81" s="34">
        <v>0</v>
      </c>
      <c r="K81" s="60">
        <v>0</v>
      </c>
      <c r="M81" s="11">
        <f t="shared" si="4"/>
        <v>0</v>
      </c>
    </row>
    <row r="82" spans="1:13" ht="15.75" x14ac:dyDescent="0.3">
      <c r="A82" s="134" t="s">
        <v>32</v>
      </c>
      <c r="B82" s="32"/>
      <c r="C82" s="81">
        <f>SUM(C77:C81)</f>
        <v>43364.25</v>
      </c>
      <c r="D82" s="32"/>
      <c r="E82" s="81">
        <f>SUM(E77:E81)</f>
        <v>58728.2</v>
      </c>
      <c r="F82" s="32"/>
      <c r="G82" s="81">
        <f>SUM(G77:G81)</f>
        <v>60325.970000000008</v>
      </c>
      <c r="H82" s="32"/>
      <c r="I82" s="81">
        <f>SUM(I77:I81)</f>
        <v>25869.87</v>
      </c>
      <c r="J82" s="32"/>
      <c r="K82" s="81">
        <f>SUM(K77:K81)</f>
        <v>81022.83</v>
      </c>
      <c r="L82" s="32"/>
      <c r="M82" s="79">
        <f>SUM(C82+E82+G82+I82+K82)</f>
        <v>269311.12</v>
      </c>
    </row>
    <row r="83" spans="1:13" ht="15.75" x14ac:dyDescent="0.3">
      <c r="A83" s="135" t="s">
        <v>113</v>
      </c>
      <c r="B83" s="9"/>
      <c r="C83" s="1"/>
      <c r="E83" s="34"/>
      <c r="G83" s="34"/>
      <c r="I83" s="34"/>
      <c r="K83" s="60"/>
      <c r="M83" s="76"/>
    </row>
    <row r="84" spans="1:13" ht="15.75" x14ac:dyDescent="0.3">
      <c r="A84" s="128" t="s">
        <v>114</v>
      </c>
      <c r="B84" s="9"/>
      <c r="C84" s="1">
        <v>0</v>
      </c>
      <c r="E84" s="34">
        <f>507.35</f>
        <v>507.35</v>
      </c>
      <c r="G84" s="34">
        <v>0</v>
      </c>
      <c r="I84" s="34">
        <f>523.8</f>
        <v>523.79999999999995</v>
      </c>
      <c r="K84" s="60">
        <v>0</v>
      </c>
      <c r="M84" s="11">
        <f>SUM(C84+E84+G84+I84+K84)</f>
        <v>1031.1500000000001</v>
      </c>
    </row>
    <row r="85" spans="1:13" ht="15.75" x14ac:dyDescent="0.3">
      <c r="A85" s="128" t="s">
        <v>116</v>
      </c>
      <c r="B85" s="9"/>
      <c r="C85" s="1">
        <v>0</v>
      </c>
      <c r="E85" s="34">
        <v>0</v>
      </c>
      <c r="G85" s="34">
        <f>1715</f>
        <v>1715</v>
      </c>
      <c r="I85" s="34">
        <f>3430</f>
        <v>3430</v>
      </c>
      <c r="K85" s="60">
        <v>0</v>
      </c>
      <c r="M85" s="11">
        <f t="shared" ref="M85:M88" si="5">SUM(C85+E85+G85+I85+K85)</f>
        <v>5145</v>
      </c>
    </row>
    <row r="86" spans="1:13" ht="15.75" x14ac:dyDescent="0.3">
      <c r="A86" s="128" t="s">
        <v>117</v>
      </c>
      <c r="B86" s="9"/>
      <c r="C86" s="1">
        <v>0</v>
      </c>
      <c r="E86" s="34">
        <v>0</v>
      </c>
      <c r="G86" s="34">
        <f>1701.17</f>
        <v>1701.17</v>
      </c>
      <c r="I86" s="34">
        <f>3402.34</f>
        <v>3402.34</v>
      </c>
      <c r="K86" s="60">
        <v>0</v>
      </c>
      <c r="M86" s="11">
        <f t="shared" si="5"/>
        <v>5103.51</v>
      </c>
    </row>
    <row r="87" spans="1:13" ht="15.75" x14ac:dyDescent="0.3">
      <c r="A87" s="128" t="s">
        <v>115</v>
      </c>
      <c r="B87" s="9"/>
      <c r="C87" s="1">
        <f>1079.4+350</f>
        <v>1429.4</v>
      </c>
      <c r="E87" s="34">
        <f>150+350</f>
        <v>500</v>
      </c>
      <c r="G87" s="34">
        <f>515</f>
        <v>515</v>
      </c>
      <c r="I87" s="34">
        <f>350+330</f>
        <v>680</v>
      </c>
      <c r="K87" s="60">
        <f>180+350</f>
        <v>530</v>
      </c>
      <c r="M87" s="11">
        <f t="shared" si="5"/>
        <v>3654.4</v>
      </c>
    </row>
    <row r="88" spans="1:13" ht="15.75" x14ac:dyDescent="0.3">
      <c r="A88" s="128" t="s">
        <v>197</v>
      </c>
      <c r="B88" s="9"/>
      <c r="C88" s="1">
        <v>0</v>
      </c>
      <c r="E88" s="34">
        <f>700</f>
        <v>700</v>
      </c>
      <c r="G88" s="34">
        <v>0</v>
      </c>
      <c r="I88" s="34">
        <v>0</v>
      </c>
      <c r="K88" s="60">
        <v>0</v>
      </c>
      <c r="M88" s="11">
        <f t="shared" si="5"/>
        <v>700</v>
      </c>
    </row>
    <row r="89" spans="1:13" ht="15.75" x14ac:dyDescent="0.3">
      <c r="A89" s="134" t="s">
        <v>32</v>
      </c>
      <c r="B89" s="32"/>
      <c r="C89" s="81">
        <f>SUM(C84:C88)</f>
        <v>1429.4</v>
      </c>
      <c r="D89" s="32"/>
      <c r="E89" s="81">
        <f>SUM(E84:E88)</f>
        <v>1707.35</v>
      </c>
      <c r="F89" s="32"/>
      <c r="G89" s="81">
        <f>SUM(G84:G88)</f>
        <v>3931.17</v>
      </c>
      <c r="H89" s="32"/>
      <c r="I89" s="81">
        <f>SUM(I84:I88)</f>
        <v>8036.14</v>
      </c>
      <c r="J89" s="32"/>
      <c r="K89" s="81">
        <f>SUM(K84:K88)</f>
        <v>530</v>
      </c>
      <c r="L89" s="32"/>
      <c r="M89" s="79">
        <f>SUM(C89+E89+G89+I89+K89)</f>
        <v>15634.060000000001</v>
      </c>
    </row>
    <row r="90" spans="1:13" ht="15.75" x14ac:dyDescent="0.3">
      <c r="A90" s="127" t="s">
        <v>88</v>
      </c>
      <c r="B90" s="9"/>
      <c r="C90" s="1"/>
      <c r="E90" s="34"/>
      <c r="G90" s="34"/>
      <c r="I90" s="34"/>
      <c r="K90" s="60"/>
      <c r="M90" s="76"/>
    </row>
    <row r="91" spans="1:13" ht="15.75" x14ac:dyDescent="0.3">
      <c r="A91" s="128" t="s">
        <v>82</v>
      </c>
      <c r="B91" s="9"/>
      <c r="C91" s="1">
        <f>676.38</f>
        <v>676.38</v>
      </c>
      <c r="E91" s="34">
        <f>729.74+44</f>
        <v>773.74</v>
      </c>
      <c r="G91" s="34">
        <f>869.81</f>
        <v>869.81</v>
      </c>
      <c r="I91" s="34">
        <f>623.02</f>
        <v>623.02</v>
      </c>
      <c r="K91" s="60">
        <f>839.79</f>
        <v>839.79</v>
      </c>
      <c r="M91" s="11">
        <f>SUM(C91+E91+G91+I91+K91)</f>
        <v>3782.74</v>
      </c>
    </row>
    <row r="92" spans="1:13" ht="15.75" x14ac:dyDescent="0.3">
      <c r="A92" s="128" t="s">
        <v>1</v>
      </c>
      <c r="B92" s="9"/>
      <c r="C92" s="1">
        <f>3489.48</f>
        <v>3489.48</v>
      </c>
      <c r="E92" s="34">
        <f>5471.93+253.24+211.2+3595.82+4182.33</f>
        <v>13714.52</v>
      </c>
      <c r="G92" s="34">
        <f>4857.83</f>
        <v>4857.83</v>
      </c>
      <c r="I92" s="34">
        <f>276.7+202.9+180.38+4675.84</f>
        <v>5335.82</v>
      </c>
      <c r="K92" s="60">
        <v>0</v>
      </c>
      <c r="M92" s="11">
        <f t="shared" ref="M92:M123" si="6">SUM(C92+E92+G92+I92+K92)</f>
        <v>27397.65</v>
      </c>
    </row>
    <row r="93" spans="1:13" ht="15.75" x14ac:dyDescent="0.3">
      <c r="A93" s="128" t="s">
        <v>81</v>
      </c>
      <c r="B93" s="9"/>
      <c r="C93" s="1">
        <v>0</v>
      </c>
      <c r="E93" s="34">
        <f>150.03+70.01+89.94+599.93+249.96+50</f>
        <v>1209.8699999999999</v>
      </c>
      <c r="G93" s="34">
        <f>69.98+169.95+150.09</f>
        <v>390.02</v>
      </c>
      <c r="I93" s="34">
        <f>782.92+109.94+1012.88</f>
        <v>1905.7399999999998</v>
      </c>
      <c r="K93" s="60">
        <v>0</v>
      </c>
      <c r="M93" s="11">
        <f t="shared" si="6"/>
        <v>3505.6299999999997</v>
      </c>
    </row>
    <row r="94" spans="1:13" ht="15.75" x14ac:dyDescent="0.3">
      <c r="A94" s="128" t="s">
        <v>89</v>
      </c>
      <c r="B94" s="9"/>
      <c r="C94" s="1">
        <f>846.84+442.86</f>
        <v>1289.7</v>
      </c>
      <c r="E94" s="34">
        <f>59.8+390.94+1158.42</f>
        <v>1609.16</v>
      </c>
      <c r="G94" s="34">
        <f>1548.83+377.36</f>
        <v>1926.19</v>
      </c>
      <c r="I94" s="34">
        <f>391.63+990.2</f>
        <v>1381.83</v>
      </c>
      <c r="K94" s="60">
        <f>874.32+498.28+1010.21+412.71</f>
        <v>2795.52</v>
      </c>
      <c r="M94" s="11">
        <f t="shared" si="6"/>
        <v>9002.4</v>
      </c>
    </row>
    <row r="95" spans="1:13" ht="15.75" x14ac:dyDescent="0.3">
      <c r="A95" s="128" t="s">
        <v>90</v>
      </c>
      <c r="B95" s="9"/>
      <c r="C95" s="1">
        <f>75+140.5+3.2+19.4+7.7</f>
        <v>245.79999999999998</v>
      </c>
      <c r="E95" s="34">
        <f>60.95+44.5+8.2+7.65</f>
        <v>121.30000000000001</v>
      </c>
      <c r="G95" s="34">
        <f>8.2</f>
        <v>8.1999999999999993</v>
      </c>
      <c r="I95" s="34">
        <f>19.81</f>
        <v>19.809999999999999</v>
      </c>
      <c r="K95" s="60">
        <v>0</v>
      </c>
      <c r="M95" s="11">
        <f t="shared" si="6"/>
        <v>395.11</v>
      </c>
    </row>
    <row r="96" spans="1:13" ht="15.75" x14ac:dyDescent="0.3">
      <c r="A96" s="128" t="s">
        <v>91</v>
      </c>
      <c r="B96" s="9"/>
      <c r="C96" s="1">
        <v>0</v>
      </c>
      <c r="E96" s="34">
        <f>618.9</f>
        <v>618.9</v>
      </c>
      <c r="G96" s="34">
        <f>1250.8</f>
        <v>1250.8</v>
      </c>
      <c r="I96" s="34">
        <f>904.67</f>
        <v>904.67</v>
      </c>
      <c r="K96" s="60">
        <v>0</v>
      </c>
      <c r="M96" s="11">
        <f t="shared" si="6"/>
        <v>2774.37</v>
      </c>
    </row>
    <row r="97" spans="1:13" ht="15.75" x14ac:dyDescent="0.3">
      <c r="A97" s="128" t="s">
        <v>92</v>
      </c>
      <c r="B97" s="9"/>
      <c r="C97" s="1">
        <v>0</v>
      </c>
      <c r="E97" s="34">
        <f>4277.25</f>
        <v>4277.25</v>
      </c>
      <c r="G97" s="34">
        <f>933.22</f>
        <v>933.22</v>
      </c>
      <c r="I97" s="34">
        <f>1866.44</f>
        <v>1866.44</v>
      </c>
      <c r="K97" s="60">
        <v>0</v>
      </c>
      <c r="M97" s="11">
        <f t="shared" si="6"/>
        <v>7076.91</v>
      </c>
    </row>
    <row r="98" spans="1:13" ht="15.75" x14ac:dyDescent="0.3">
      <c r="A98" s="128" t="s">
        <v>93</v>
      </c>
      <c r="B98" s="9"/>
      <c r="C98" s="1">
        <v>0</v>
      </c>
      <c r="E98" s="34">
        <v>0</v>
      </c>
      <c r="G98" s="34">
        <v>0</v>
      </c>
      <c r="I98" s="34">
        <v>0</v>
      </c>
      <c r="K98" s="60">
        <v>0</v>
      </c>
      <c r="M98" s="11">
        <f t="shared" si="6"/>
        <v>0</v>
      </c>
    </row>
    <row r="99" spans="1:13" ht="16.5" x14ac:dyDescent="0.3">
      <c r="A99" s="106" t="s">
        <v>201</v>
      </c>
      <c r="B99" s="9"/>
      <c r="C99" s="1">
        <f>40+50</f>
        <v>90</v>
      </c>
      <c r="E99" s="34">
        <v>0</v>
      </c>
      <c r="G99" s="34">
        <v>0</v>
      </c>
      <c r="I99" s="34">
        <f>40+40+40</f>
        <v>120</v>
      </c>
      <c r="K99" s="60">
        <v>0</v>
      </c>
      <c r="M99" s="11">
        <f t="shared" si="6"/>
        <v>210</v>
      </c>
    </row>
    <row r="100" spans="1:13" ht="15.75" x14ac:dyDescent="0.3">
      <c r="A100" s="128" t="s">
        <v>94</v>
      </c>
      <c r="B100" s="9"/>
      <c r="C100" s="1">
        <v>0</v>
      </c>
      <c r="E100" s="34">
        <f>30+91.6+1909.2</f>
        <v>2030.8</v>
      </c>
      <c r="G100" s="34">
        <v>0</v>
      </c>
      <c r="I100" s="34">
        <f>313.65</f>
        <v>313.64999999999998</v>
      </c>
      <c r="K100" s="60">
        <v>0</v>
      </c>
      <c r="M100" s="11">
        <f t="shared" si="6"/>
        <v>2344.4499999999998</v>
      </c>
    </row>
    <row r="101" spans="1:13" ht="15.75" x14ac:dyDescent="0.3">
      <c r="A101" s="128" t="s">
        <v>95</v>
      </c>
      <c r="B101" s="9"/>
      <c r="C101" s="1">
        <v>0</v>
      </c>
      <c r="E101" s="34">
        <f>1739.5+990</f>
        <v>2729.5</v>
      </c>
      <c r="G101" s="34">
        <f>150+330</f>
        <v>480</v>
      </c>
      <c r="I101" s="34">
        <v>0</v>
      </c>
      <c r="K101" s="60">
        <v>0</v>
      </c>
      <c r="M101" s="11">
        <f t="shared" si="6"/>
        <v>3209.5</v>
      </c>
    </row>
    <row r="102" spans="1:13" ht="15.75" x14ac:dyDescent="0.3">
      <c r="A102" s="128" t="s">
        <v>96</v>
      </c>
      <c r="B102" s="9"/>
      <c r="C102" s="1">
        <v>0</v>
      </c>
      <c r="E102" s="34"/>
      <c r="G102" s="34">
        <v>0</v>
      </c>
      <c r="I102" s="34">
        <v>0</v>
      </c>
      <c r="K102" s="60">
        <v>0</v>
      </c>
      <c r="M102" s="11">
        <f t="shared" si="6"/>
        <v>0</v>
      </c>
    </row>
    <row r="103" spans="1:13" ht="15.75" x14ac:dyDescent="0.3">
      <c r="A103" s="128" t="s">
        <v>97</v>
      </c>
      <c r="B103" s="9"/>
      <c r="C103" s="1">
        <v>0</v>
      </c>
      <c r="E103" s="34">
        <f>16+42.5+14.9+14.9+26.19</f>
        <v>114.49000000000001</v>
      </c>
      <c r="G103" s="34">
        <f>89</f>
        <v>89</v>
      </c>
      <c r="I103" s="34">
        <f>83</f>
        <v>83</v>
      </c>
      <c r="K103" s="60">
        <v>0</v>
      </c>
      <c r="M103" s="11">
        <f t="shared" si="6"/>
        <v>286.49</v>
      </c>
    </row>
    <row r="104" spans="1:13" ht="15.75" x14ac:dyDescent="0.3">
      <c r="A104" s="128" t="s">
        <v>98</v>
      </c>
      <c r="B104" s="9"/>
      <c r="C104" s="1">
        <v>0</v>
      </c>
      <c r="E104" s="34">
        <f>2916.7</f>
        <v>2916.7</v>
      </c>
      <c r="G104" s="34">
        <f>603</f>
        <v>603</v>
      </c>
      <c r="I104" s="34">
        <f>120+1276.44</f>
        <v>1396.44</v>
      </c>
      <c r="K104" s="60">
        <v>0</v>
      </c>
      <c r="M104" s="11">
        <f t="shared" si="6"/>
        <v>4916.1399999999994</v>
      </c>
    </row>
    <row r="105" spans="1:13" ht="15.75" x14ac:dyDescent="0.3">
      <c r="A105" s="128" t="s">
        <v>99</v>
      </c>
      <c r="B105" s="9"/>
      <c r="C105" s="1">
        <v>0</v>
      </c>
      <c r="E105" s="34">
        <v>0</v>
      </c>
      <c r="G105" s="34">
        <v>0</v>
      </c>
      <c r="I105" s="34">
        <v>0</v>
      </c>
      <c r="K105" s="60">
        <v>0</v>
      </c>
      <c r="M105" s="11">
        <f t="shared" si="6"/>
        <v>0</v>
      </c>
    </row>
    <row r="106" spans="1:13" ht="15.75" x14ac:dyDescent="0.3">
      <c r="A106" s="128" t="s">
        <v>183</v>
      </c>
      <c r="B106" s="9"/>
      <c r="C106" s="1">
        <v>0</v>
      </c>
      <c r="E106" s="34">
        <v>0</v>
      </c>
      <c r="G106" s="34">
        <f>2511.29</f>
        <v>2511.29</v>
      </c>
      <c r="I106" s="34">
        <f>1607.25</f>
        <v>1607.25</v>
      </c>
      <c r="K106" s="60">
        <v>0</v>
      </c>
      <c r="M106" s="11">
        <f t="shared" si="6"/>
        <v>4118.54</v>
      </c>
    </row>
    <row r="107" spans="1:13" ht="16.5" x14ac:dyDescent="0.3">
      <c r="A107" s="106" t="s">
        <v>196</v>
      </c>
      <c r="B107" s="9"/>
      <c r="C107" s="1">
        <v>0</v>
      </c>
      <c r="E107" s="34">
        <f>2191.14</f>
        <v>2191.14</v>
      </c>
      <c r="G107" s="34">
        <f>378.98</f>
        <v>378.98</v>
      </c>
      <c r="I107" s="34">
        <f>971.67</f>
        <v>971.67</v>
      </c>
      <c r="K107" s="60">
        <v>0</v>
      </c>
      <c r="M107" s="11">
        <f t="shared" si="6"/>
        <v>3541.79</v>
      </c>
    </row>
    <row r="108" spans="1:13" ht="15.75" x14ac:dyDescent="0.3">
      <c r="A108" s="128" t="s">
        <v>100</v>
      </c>
      <c r="B108" s="9"/>
      <c r="C108" s="1">
        <f>773+240+621.3</f>
        <v>1634.3</v>
      </c>
      <c r="E108" s="34">
        <f>132.57</f>
        <v>132.57</v>
      </c>
      <c r="G108" s="34">
        <v>0</v>
      </c>
      <c r="I108" s="34">
        <f>66.7</f>
        <v>66.7</v>
      </c>
      <c r="K108" s="60">
        <f>409</f>
        <v>409</v>
      </c>
      <c r="M108" s="11">
        <f t="shared" si="6"/>
        <v>2242.5699999999997</v>
      </c>
    </row>
    <row r="109" spans="1:13" ht="15.75" x14ac:dyDescent="0.3">
      <c r="A109" s="128" t="s">
        <v>101</v>
      </c>
      <c r="B109" s="9"/>
      <c r="C109" s="1">
        <f>600</f>
        <v>600</v>
      </c>
      <c r="E109" s="34">
        <f>621+600</f>
        <v>1221</v>
      </c>
      <c r="G109" s="34">
        <f>1221</f>
        <v>1221</v>
      </c>
      <c r="I109" s="34">
        <f>621</f>
        <v>621</v>
      </c>
      <c r="K109" s="60">
        <f>621</f>
        <v>621</v>
      </c>
      <c r="M109" s="11">
        <f t="shared" si="6"/>
        <v>4284</v>
      </c>
    </row>
    <row r="110" spans="1:13" ht="15.75" x14ac:dyDescent="0.3">
      <c r="A110" s="128" t="s">
        <v>102</v>
      </c>
      <c r="B110" s="9"/>
      <c r="C110" s="1">
        <v>0</v>
      </c>
      <c r="E110" s="34">
        <v>0</v>
      </c>
      <c r="G110" s="34">
        <v>0</v>
      </c>
      <c r="I110" s="34">
        <v>0</v>
      </c>
      <c r="K110" s="60">
        <v>0</v>
      </c>
      <c r="M110" s="11">
        <f t="shared" si="6"/>
        <v>0</v>
      </c>
    </row>
    <row r="111" spans="1:13" ht="15.75" x14ac:dyDescent="0.3">
      <c r="A111" s="128" t="s">
        <v>103</v>
      </c>
      <c r="B111" s="9"/>
      <c r="C111" s="1">
        <v>0</v>
      </c>
      <c r="E111" s="34">
        <v>0</v>
      </c>
      <c r="G111" s="34">
        <v>0</v>
      </c>
      <c r="I111" s="34">
        <f>1178.32</f>
        <v>1178.32</v>
      </c>
      <c r="K111" s="60">
        <f>1150+30.6</f>
        <v>1180.5999999999999</v>
      </c>
      <c r="M111" s="11">
        <f t="shared" si="6"/>
        <v>2358.92</v>
      </c>
    </row>
    <row r="112" spans="1:13" ht="15.75" x14ac:dyDescent="0.3">
      <c r="A112" s="128" t="s">
        <v>182</v>
      </c>
      <c r="B112" s="9"/>
      <c r="C112" s="1">
        <f>625+460</f>
        <v>1085</v>
      </c>
      <c r="E112" s="34">
        <f>458.5+625</f>
        <v>1083.5</v>
      </c>
      <c r="G112" s="34">
        <f>458.5+625</f>
        <v>1083.5</v>
      </c>
      <c r="I112" s="34">
        <f>458.5+625</f>
        <v>1083.5</v>
      </c>
      <c r="K112" s="60">
        <v>0</v>
      </c>
      <c r="M112" s="11">
        <f t="shared" si="6"/>
        <v>4335.5</v>
      </c>
    </row>
    <row r="113" spans="1:13" ht="15.75" x14ac:dyDescent="0.3">
      <c r="A113" s="128" t="s">
        <v>104</v>
      </c>
      <c r="B113" s="9"/>
      <c r="C113" s="1">
        <v>0</v>
      </c>
      <c r="E113" s="34">
        <v>0</v>
      </c>
      <c r="G113" s="34">
        <v>0</v>
      </c>
      <c r="I113" s="34">
        <v>0</v>
      </c>
      <c r="K113" s="60">
        <v>0</v>
      </c>
      <c r="M113" s="11">
        <f t="shared" si="6"/>
        <v>0</v>
      </c>
    </row>
    <row r="114" spans="1:13" ht="15.75" x14ac:dyDescent="0.3">
      <c r="A114" s="128" t="s">
        <v>105</v>
      </c>
      <c r="B114" s="9"/>
      <c r="C114" s="1">
        <v>0</v>
      </c>
      <c r="E114" s="34">
        <v>0</v>
      </c>
      <c r="G114" s="34">
        <v>0</v>
      </c>
      <c r="I114" s="34">
        <v>0</v>
      </c>
      <c r="K114" s="60">
        <f>330</f>
        <v>330</v>
      </c>
      <c r="M114" s="11">
        <f t="shared" si="6"/>
        <v>330</v>
      </c>
    </row>
    <row r="115" spans="1:13" ht="15.75" x14ac:dyDescent="0.3">
      <c r="A115" s="128" t="s">
        <v>83</v>
      </c>
      <c r="B115" s="9"/>
      <c r="C115" s="1">
        <v>0</v>
      </c>
      <c r="E115" s="34">
        <v>0</v>
      </c>
      <c r="G115" s="34">
        <v>0</v>
      </c>
      <c r="I115" s="34">
        <v>0</v>
      </c>
      <c r="K115" s="60">
        <v>0</v>
      </c>
      <c r="M115" s="11">
        <f t="shared" si="6"/>
        <v>0</v>
      </c>
    </row>
    <row r="116" spans="1:13" ht="15.75" x14ac:dyDescent="0.3">
      <c r="A116" s="130" t="s">
        <v>67</v>
      </c>
      <c r="B116" s="9"/>
      <c r="C116" s="1">
        <v>0</v>
      </c>
      <c r="E116" s="34">
        <f>924</f>
        <v>924</v>
      </c>
      <c r="G116" s="34">
        <v>0</v>
      </c>
      <c r="I116" s="34">
        <v>0</v>
      </c>
      <c r="K116" s="60">
        <v>0</v>
      </c>
      <c r="M116" s="11">
        <f t="shared" si="6"/>
        <v>924</v>
      </c>
    </row>
    <row r="117" spans="1:13" ht="15.75" x14ac:dyDescent="0.3">
      <c r="A117" s="128" t="s">
        <v>61</v>
      </c>
      <c r="B117" s="9"/>
      <c r="C117" s="1">
        <v>0</v>
      </c>
      <c r="E117" s="34">
        <v>0</v>
      </c>
      <c r="G117" s="34">
        <v>0</v>
      </c>
      <c r="I117" s="34">
        <v>0</v>
      </c>
      <c r="K117" s="60">
        <v>0</v>
      </c>
      <c r="M117" s="11">
        <f t="shared" si="6"/>
        <v>0</v>
      </c>
    </row>
    <row r="118" spans="1:13" ht="15.75" x14ac:dyDescent="0.3">
      <c r="A118" s="130" t="s">
        <v>72</v>
      </c>
      <c r="B118" s="9"/>
      <c r="C118" s="1">
        <v>0</v>
      </c>
      <c r="E118" s="34">
        <v>0</v>
      </c>
      <c r="G118" s="34">
        <v>0</v>
      </c>
      <c r="I118" s="34">
        <v>0</v>
      </c>
      <c r="K118" s="60">
        <v>0</v>
      </c>
      <c r="M118" s="11">
        <f t="shared" si="6"/>
        <v>0</v>
      </c>
    </row>
    <row r="119" spans="1:13" ht="15.75" x14ac:dyDescent="0.3">
      <c r="A119" s="128" t="s">
        <v>73</v>
      </c>
      <c r="B119" s="9"/>
      <c r="C119" s="1">
        <v>0</v>
      </c>
      <c r="E119" s="34">
        <v>0</v>
      </c>
      <c r="G119" s="34">
        <v>0</v>
      </c>
      <c r="I119" s="34">
        <v>0</v>
      </c>
      <c r="K119" s="60">
        <v>0</v>
      </c>
      <c r="M119" s="11">
        <f t="shared" si="6"/>
        <v>0</v>
      </c>
    </row>
    <row r="120" spans="1:13" ht="15.75" x14ac:dyDescent="0.3">
      <c r="A120" s="128" t="s">
        <v>74</v>
      </c>
      <c r="B120" s="9"/>
      <c r="C120" s="1">
        <v>0</v>
      </c>
      <c r="E120" s="34">
        <v>0</v>
      </c>
      <c r="G120" s="34">
        <v>0</v>
      </c>
      <c r="I120" s="34">
        <v>0</v>
      </c>
      <c r="K120" s="60">
        <v>0</v>
      </c>
      <c r="M120" s="11">
        <f t="shared" si="6"/>
        <v>0</v>
      </c>
    </row>
    <row r="121" spans="1:13" ht="15.75" x14ac:dyDescent="0.3">
      <c r="A121" s="130" t="s">
        <v>75</v>
      </c>
      <c r="B121" s="9"/>
      <c r="C121" s="1">
        <v>0</v>
      </c>
      <c r="E121" s="34">
        <v>0</v>
      </c>
      <c r="G121" s="34">
        <v>0</v>
      </c>
      <c r="I121" s="34">
        <v>0</v>
      </c>
      <c r="K121" s="60">
        <v>0</v>
      </c>
      <c r="M121" s="11">
        <f t="shared" si="6"/>
        <v>0</v>
      </c>
    </row>
    <row r="122" spans="1:13" ht="15.75" x14ac:dyDescent="0.3">
      <c r="A122" s="130" t="s">
        <v>119</v>
      </c>
      <c r="B122" s="9"/>
      <c r="C122" s="1">
        <v>0</v>
      </c>
      <c r="E122" s="34">
        <f>4515.32</f>
        <v>4515.32</v>
      </c>
      <c r="G122" s="34">
        <v>0</v>
      </c>
      <c r="I122" s="34">
        <v>0</v>
      </c>
      <c r="K122" s="60">
        <f>1969.94+9989.64</f>
        <v>11959.58</v>
      </c>
      <c r="M122" s="11">
        <f t="shared" si="6"/>
        <v>16474.900000000001</v>
      </c>
    </row>
    <row r="123" spans="1:13" ht="15.75" x14ac:dyDescent="0.3">
      <c r="A123" s="130" t="s">
        <v>195</v>
      </c>
      <c r="B123" s="9"/>
      <c r="C123" s="1">
        <v>0</v>
      </c>
      <c r="E123" s="34">
        <f>1727.95</f>
        <v>1727.95</v>
      </c>
      <c r="G123" s="34">
        <f>1176.43</f>
        <v>1176.43</v>
      </c>
      <c r="I123" s="34">
        <f>1249.61</f>
        <v>1249.6099999999999</v>
      </c>
      <c r="K123" s="60">
        <f>1246.7</f>
        <v>1246.7</v>
      </c>
      <c r="M123" s="11">
        <f t="shared" si="6"/>
        <v>5400.69</v>
      </c>
    </row>
    <row r="124" spans="1:13" ht="15.75" x14ac:dyDescent="0.3">
      <c r="A124" s="128" t="s">
        <v>63</v>
      </c>
      <c r="B124" s="9"/>
      <c r="C124" s="1">
        <f>368.32+366.76+258.54+668.43+504.73+311.87+1000.25+153.69</f>
        <v>3632.5899999999997</v>
      </c>
      <c r="E124" s="34">
        <f>362.15+362.15+368.32+366.76+258.54+504.73+1000.25</f>
        <v>3222.8999999999996</v>
      </c>
      <c r="G124" s="34">
        <f>1000.25+366.76+258.54+668.43+635.01+362.15+153.69</f>
        <v>3444.83</v>
      </c>
      <c r="I124" s="34">
        <f>368.32+362.15+153.69+504.73+701.85</f>
        <v>2090.7400000000002</v>
      </c>
      <c r="K124" s="60">
        <f>668.43+311.87+362.15+1000.25+1000.25</f>
        <v>3342.95</v>
      </c>
      <c r="M124" s="11">
        <f t="shared" ref="M124" si="7">SUM(C124+E124+G124+I124+K124)</f>
        <v>15734.009999999998</v>
      </c>
    </row>
    <row r="125" spans="1:13" ht="15.75" x14ac:dyDescent="0.3">
      <c r="A125" s="134" t="s">
        <v>32</v>
      </c>
      <c r="B125" s="32"/>
      <c r="C125" s="81">
        <f>SUM(C91:C124)</f>
        <v>12743.25</v>
      </c>
      <c r="D125" s="32"/>
      <c r="E125" s="81">
        <f>SUM(E91:E124)</f>
        <v>45134.61</v>
      </c>
      <c r="F125" s="32"/>
      <c r="G125" s="81">
        <f>SUM(G91:G124)</f>
        <v>21224.1</v>
      </c>
      <c r="H125" s="32"/>
      <c r="I125" s="81">
        <f>SUM(I91:I124)</f>
        <v>22819.210000000003</v>
      </c>
      <c r="J125" s="32"/>
      <c r="K125" s="81">
        <f>SUM(K91:K124)</f>
        <v>22725.14</v>
      </c>
      <c r="L125" s="32"/>
      <c r="M125" s="79">
        <f>SUM(C125+E125+G125+I125+K125)</f>
        <v>124646.31</v>
      </c>
    </row>
    <row r="126" spans="1:13" ht="15.75" x14ac:dyDescent="0.3">
      <c r="A126" s="127" t="s">
        <v>76</v>
      </c>
      <c r="B126" s="9"/>
      <c r="C126" s="1"/>
      <c r="E126" s="34"/>
      <c r="G126" s="34"/>
      <c r="I126" s="34"/>
      <c r="K126" s="60"/>
      <c r="M126" s="76"/>
    </row>
    <row r="127" spans="1:13" ht="15.75" x14ac:dyDescent="0.3">
      <c r="A127" s="130" t="s">
        <v>123</v>
      </c>
      <c r="B127" s="9"/>
      <c r="C127" s="1">
        <v>0</v>
      </c>
      <c r="E127" s="34">
        <f>1594.59</f>
        <v>1594.59</v>
      </c>
      <c r="G127" s="34">
        <f>1205.67</f>
        <v>1205.67</v>
      </c>
      <c r="I127" s="34">
        <f>293.43</f>
        <v>293.43</v>
      </c>
      <c r="K127" s="60">
        <f>242.72</f>
        <v>242.72</v>
      </c>
      <c r="M127" s="11">
        <f>SUM(C127+E127+G127+I127+K127)</f>
        <v>3336.41</v>
      </c>
    </row>
    <row r="128" spans="1:13" ht="15.75" x14ac:dyDescent="0.3">
      <c r="A128" s="130" t="s">
        <v>124</v>
      </c>
      <c r="B128" s="9"/>
      <c r="C128" s="1">
        <v>0</v>
      </c>
      <c r="E128" s="34">
        <f>1413.35+336.74+140.48+268.91+5369.03+403.67+172.24+900.67+136.47+147.85+72.7+30.35+97.45+153.26</f>
        <v>9643.1700000000019</v>
      </c>
      <c r="G128" s="34">
        <f>173.81+1060.79+81.84+751.64+97.59+79.09+61.47+120.51+59.22+109.86+292.38+19.05+20.24+112.69+20.24+74.51+14.3</f>
        <v>3149.2300000000005</v>
      </c>
      <c r="I128" s="34">
        <f>932+219.38+138.85+752.88</f>
        <v>2043.1100000000001</v>
      </c>
      <c r="K128" s="60">
        <f>740+22.6+667.6+71.48+113.15+129.82+45.53+75.52+5.94+80.79+50.8+250.74+100.95+783.5+1386.92+185.97+305.66+762.6</f>
        <v>5779.5700000000006</v>
      </c>
      <c r="M128" s="11">
        <f t="shared" ref="M128:M131" si="8">SUM(C128+E128+G128+I128+K128)</f>
        <v>20615.080000000002</v>
      </c>
    </row>
    <row r="129" spans="1:13" ht="15.75" x14ac:dyDescent="0.3">
      <c r="A129" s="130" t="s">
        <v>128</v>
      </c>
      <c r="B129" s="9"/>
      <c r="C129" s="1">
        <f>354.26</f>
        <v>354.26</v>
      </c>
      <c r="E129" s="34">
        <v>0</v>
      </c>
      <c r="G129" s="34">
        <f>736.17</f>
        <v>736.17</v>
      </c>
      <c r="I129" s="34">
        <f>608.83</f>
        <v>608.83000000000004</v>
      </c>
      <c r="K129" s="60">
        <f>534.21</f>
        <v>534.21</v>
      </c>
      <c r="M129" s="11">
        <f t="shared" si="8"/>
        <v>2233.4699999999998</v>
      </c>
    </row>
    <row r="130" spans="1:13" ht="15.75" x14ac:dyDescent="0.3">
      <c r="A130" s="130" t="s">
        <v>125</v>
      </c>
      <c r="B130" s="9"/>
      <c r="C130" s="1">
        <v>0</v>
      </c>
      <c r="E130" s="34">
        <f>46.68+22.9+21.06+4.95</f>
        <v>95.59</v>
      </c>
      <c r="G130" s="34">
        <f>4.95+24.75+4.95+34.39+13.67</f>
        <v>82.71</v>
      </c>
      <c r="I130" s="34">
        <v>0</v>
      </c>
      <c r="K130" s="60">
        <f>4.95+305.66</f>
        <v>310.61</v>
      </c>
      <c r="M130" s="11">
        <f t="shared" si="8"/>
        <v>488.91</v>
      </c>
    </row>
    <row r="131" spans="1:13" ht="15.75" x14ac:dyDescent="0.3">
      <c r="A131" s="130" t="s">
        <v>126</v>
      </c>
      <c r="B131" s="9"/>
      <c r="C131" s="1">
        <v>0</v>
      </c>
      <c r="E131" s="34">
        <f>5.73+69+91.98+116.73+161.2+10.12+2.43</f>
        <v>457.19</v>
      </c>
      <c r="G131" s="34">
        <f>103.27+7.69</f>
        <v>110.96</v>
      </c>
      <c r="I131" s="34">
        <f>17.7+15+4.5</f>
        <v>37.200000000000003</v>
      </c>
      <c r="K131" s="60">
        <f>97.79+24.31+131.8</f>
        <v>253.90000000000003</v>
      </c>
      <c r="M131" s="11">
        <f t="shared" si="8"/>
        <v>859.25</v>
      </c>
    </row>
    <row r="132" spans="1:13" ht="15.75" x14ac:dyDescent="0.3">
      <c r="A132" s="134" t="s">
        <v>32</v>
      </c>
      <c r="B132" s="32"/>
      <c r="C132" s="81">
        <f>SUM(C127:C131)</f>
        <v>354.26</v>
      </c>
      <c r="D132" s="32"/>
      <c r="E132" s="81">
        <f>SUM(E127:E131)</f>
        <v>11790.540000000003</v>
      </c>
      <c r="F132" s="32"/>
      <c r="G132" s="81">
        <f>SUM(G127:G131)</f>
        <v>5284.7400000000007</v>
      </c>
      <c r="H132" s="32"/>
      <c r="I132" s="81">
        <f>SUM(I127:I131)</f>
        <v>2982.5699999999997</v>
      </c>
      <c r="J132" s="32"/>
      <c r="K132" s="81">
        <f>SUM(K127:K131)</f>
        <v>7121.01</v>
      </c>
      <c r="L132" s="32"/>
      <c r="M132" s="79">
        <f>SUM(C132+E132+G132+I132+K132)</f>
        <v>27533.120000000003</v>
      </c>
    </row>
    <row r="133" spans="1:13" ht="15.75" x14ac:dyDescent="0.3">
      <c r="A133" s="127" t="s">
        <v>152</v>
      </c>
      <c r="B133" s="9"/>
      <c r="C133" s="14"/>
      <c r="E133" s="69"/>
      <c r="G133" s="69"/>
      <c r="I133" s="69"/>
      <c r="K133" s="60"/>
      <c r="M133" s="76"/>
    </row>
    <row r="134" spans="1:13" ht="15.75" x14ac:dyDescent="0.3">
      <c r="A134" s="130" t="s">
        <v>140</v>
      </c>
      <c r="B134" s="9"/>
      <c r="C134" s="1">
        <f>1570.15+1384.78</f>
        <v>2954.9300000000003</v>
      </c>
      <c r="E134" s="34">
        <f>2074.74+539.82+145.56+162.16</f>
        <v>2922.2799999999997</v>
      </c>
      <c r="G134" s="34">
        <f>619.19+607.85+34.87+138.17+241.85</f>
        <v>1641.9299999999998</v>
      </c>
      <c r="I134" s="34">
        <f>613.54+25.58+17.72+39.92</f>
        <v>696.76</v>
      </c>
      <c r="K134" s="60">
        <f>296.76+159.31+165.6</f>
        <v>621.66999999999996</v>
      </c>
      <c r="M134" s="11">
        <f>SUM(C134+E134+G134+I134+K134)</f>
        <v>8837.57</v>
      </c>
    </row>
    <row r="135" spans="1:13" ht="15.75" x14ac:dyDescent="0.3">
      <c r="A135" s="130" t="s">
        <v>141</v>
      </c>
      <c r="B135" s="9"/>
      <c r="C135" s="1">
        <f>1440.39</f>
        <v>1440.39</v>
      </c>
      <c r="E135" s="34">
        <f>495.74</f>
        <v>495.74</v>
      </c>
      <c r="G135" s="34">
        <v>0</v>
      </c>
      <c r="I135" s="34">
        <f>144+1570.37</f>
        <v>1714.37</v>
      </c>
      <c r="K135" s="60">
        <v>0</v>
      </c>
      <c r="M135" s="11">
        <f t="shared" ref="M135:M136" si="9">SUM(C135+E135+G135+I135+K135)</f>
        <v>3650.5</v>
      </c>
    </row>
    <row r="136" spans="1:13" ht="15.75" x14ac:dyDescent="0.3">
      <c r="A136" s="130" t="s">
        <v>78</v>
      </c>
      <c r="B136" s="9"/>
      <c r="C136" s="1">
        <v>0</v>
      </c>
      <c r="E136" s="34">
        <v>0</v>
      </c>
      <c r="G136" s="34">
        <v>0</v>
      </c>
      <c r="I136" s="34">
        <v>0</v>
      </c>
      <c r="K136" s="60">
        <v>0</v>
      </c>
      <c r="M136" s="11">
        <f t="shared" si="9"/>
        <v>0</v>
      </c>
    </row>
    <row r="137" spans="1:13" ht="15.75" x14ac:dyDescent="0.3">
      <c r="A137" s="130"/>
      <c r="B137" s="32"/>
      <c r="C137" s="81">
        <f>SUM(C134:C136)</f>
        <v>4395.3200000000006</v>
      </c>
      <c r="D137" s="32"/>
      <c r="E137" s="81">
        <f>SUM(E134:E136)</f>
        <v>3418.0199999999995</v>
      </c>
      <c r="F137" s="32"/>
      <c r="G137" s="81">
        <f>SUM(G134:G136)</f>
        <v>1641.9299999999998</v>
      </c>
      <c r="H137" s="32"/>
      <c r="I137" s="81">
        <f>SUM(I134:I136)</f>
        <v>2411.13</v>
      </c>
      <c r="J137" s="32"/>
      <c r="K137" s="81">
        <f>SUM(K134:K135)</f>
        <v>621.66999999999996</v>
      </c>
      <c r="L137" s="32"/>
      <c r="M137" s="79">
        <f>SUM(C137+E137+G137+I137+K137)</f>
        <v>12488.070000000002</v>
      </c>
    </row>
    <row r="138" spans="1:13" ht="15.75" x14ac:dyDescent="0.3">
      <c r="A138" s="130"/>
      <c r="B138" s="32"/>
      <c r="C138" s="69"/>
      <c r="D138" s="32"/>
      <c r="E138" s="69"/>
      <c r="F138" s="32"/>
      <c r="G138" s="69"/>
      <c r="H138" s="32"/>
      <c r="I138" s="69"/>
      <c r="J138" s="32"/>
      <c r="K138" s="69"/>
      <c r="L138" s="32"/>
      <c r="M138" s="76"/>
    </row>
    <row r="139" spans="1:13" ht="16.5" x14ac:dyDescent="0.3">
      <c r="A139" s="127" t="s">
        <v>127</v>
      </c>
      <c r="B139" s="9"/>
      <c r="C139" s="1"/>
      <c r="E139" s="34"/>
      <c r="G139" s="34"/>
      <c r="I139" s="34"/>
      <c r="K139" s="60"/>
      <c r="M139" s="93">
        <v>3</v>
      </c>
    </row>
    <row r="140" spans="1:13" ht="15.75" x14ac:dyDescent="0.3">
      <c r="A140" s="130" t="s">
        <v>226</v>
      </c>
      <c r="B140" s="9"/>
      <c r="C140" s="1">
        <f>418.33+672.21+2803.05+983.04+618.78+329.6+288.96+689.75+261.17+252+180+779.4+206.42</f>
        <v>8482.7100000000009</v>
      </c>
      <c r="E140" s="34">
        <f>72.25+35.2+67.26+56.13+3813.89+236+5525.6+2510.77+5015.81+2678.66</f>
        <v>20011.57</v>
      </c>
      <c r="G140" s="34">
        <f>4012.93+171.5+577.92+1737.88+1762.97+3375.76+3430.31</f>
        <v>15069.27</v>
      </c>
      <c r="I140" s="34">
        <f>34.93+6.85+9.98+2754.44</f>
        <v>2806.2000000000003</v>
      </c>
      <c r="K140" s="60">
        <f>5456.74+87.52+5354.02+17.85</f>
        <v>10916.130000000001</v>
      </c>
      <c r="M140" s="11">
        <f>SUM(C140+E140+G140+I140+K140)</f>
        <v>57285.880000000005</v>
      </c>
    </row>
    <row r="141" spans="1:13" ht="15.75" x14ac:dyDescent="0.3">
      <c r="A141" s="130" t="s">
        <v>234</v>
      </c>
      <c r="B141" s="9"/>
      <c r="C141" s="1">
        <v>0</v>
      </c>
      <c r="E141" s="34">
        <f>2250</f>
        <v>2250</v>
      </c>
      <c r="G141" s="34">
        <v>0</v>
      </c>
      <c r="I141" s="34">
        <f>2025</f>
        <v>2025</v>
      </c>
      <c r="K141" s="60">
        <v>0</v>
      </c>
      <c r="M141" s="11">
        <f t="shared" ref="M141" si="10">SUM(C141+E141+G141+I141+K141)</f>
        <v>4275</v>
      </c>
    </row>
    <row r="142" spans="1:13" ht="15.75" x14ac:dyDescent="0.3">
      <c r="A142" s="134" t="s">
        <v>32</v>
      </c>
      <c r="B142" s="32"/>
      <c r="C142" s="81">
        <f>SUM(C140:C141)</f>
        <v>8482.7100000000009</v>
      </c>
      <c r="D142" s="32"/>
      <c r="E142" s="81">
        <f>SUM(E140:E141)</f>
        <v>22261.57</v>
      </c>
      <c r="F142" s="32"/>
      <c r="G142" s="81">
        <f>SUM(G140:G141)</f>
        <v>15069.27</v>
      </c>
      <c r="H142" s="32"/>
      <c r="I142" s="81">
        <f>SUM(I140:I141)</f>
        <v>4831.2000000000007</v>
      </c>
      <c r="J142" s="32"/>
      <c r="K142" s="81">
        <f>SUM(K140:K141)</f>
        <v>10916.130000000001</v>
      </c>
      <c r="L142" s="32"/>
      <c r="M142" s="79">
        <f>SUM(C142+E142+G142+I142+K142)</f>
        <v>61560.880000000005</v>
      </c>
    </row>
    <row r="143" spans="1:13" ht="15.75" x14ac:dyDescent="0.3">
      <c r="A143" s="127" t="s">
        <v>154</v>
      </c>
      <c r="B143" s="9"/>
      <c r="C143" s="1"/>
      <c r="E143" s="34"/>
      <c r="G143" s="34"/>
      <c r="I143" s="34"/>
      <c r="K143" s="60"/>
      <c r="M143" s="76"/>
    </row>
    <row r="144" spans="1:13" ht="15.75" x14ac:dyDescent="0.3">
      <c r="A144" s="130" t="s">
        <v>80</v>
      </c>
      <c r="B144" s="9"/>
      <c r="C144" s="1">
        <v>0</v>
      </c>
      <c r="E144" s="34">
        <f>800+90+340</f>
        <v>1230</v>
      </c>
      <c r="G144" s="34">
        <v>0</v>
      </c>
      <c r="I144" s="34">
        <f>291.78+516</f>
        <v>807.78</v>
      </c>
      <c r="K144" s="60">
        <v>0</v>
      </c>
      <c r="M144" s="11">
        <f>SUM(C144+E144+G144+I144+K144)</f>
        <v>2037.78</v>
      </c>
    </row>
    <row r="145" spans="1:13" ht="15.75" x14ac:dyDescent="0.3">
      <c r="A145" s="130" t="s">
        <v>79</v>
      </c>
      <c r="B145" s="9"/>
      <c r="C145" s="1">
        <f>833+200+60+14</f>
        <v>1107</v>
      </c>
      <c r="E145" s="34">
        <f>300+1754.36</f>
        <v>2054.3599999999997</v>
      </c>
      <c r="G145" s="34">
        <f>250+291</f>
        <v>541</v>
      </c>
      <c r="I145" s="34">
        <f>47.94+7.48</f>
        <v>55.42</v>
      </c>
      <c r="K145" s="60">
        <f>690.25</f>
        <v>690.25</v>
      </c>
      <c r="M145" s="11">
        <f t="shared" ref="M145:M147" si="11">SUM(C145+E145+G145+I145+K145)</f>
        <v>4448.03</v>
      </c>
    </row>
    <row r="146" spans="1:13" ht="15.75" x14ac:dyDescent="0.3">
      <c r="A146" s="128" t="s">
        <v>129</v>
      </c>
      <c r="B146" s="9"/>
      <c r="C146" s="1">
        <f>107</f>
        <v>107</v>
      </c>
      <c r="E146" s="34">
        <f>400</f>
        <v>400</v>
      </c>
      <c r="G146" s="34">
        <f>1700</f>
        <v>1700</v>
      </c>
      <c r="I146" s="34">
        <f>1700</f>
        <v>1700</v>
      </c>
      <c r="K146" s="60">
        <v>0</v>
      </c>
      <c r="M146" s="11">
        <f t="shared" si="11"/>
        <v>3907</v>
      </c>
    </row>
    <row r="147" spans="1:13" ht="15.75" x14ac:dyDescent="0.3">
      <c r="A147" s="128" t="s">
        <v>227</v>
      </c>
      <c r="B147" s="9"/>
      <c r="C147" s="1">
        <v>0</v>
      </c>
      <c r="E147" s="34">
        <v>0</v>
      </c>
      <c r="G147" s="34">
        <v>1500</v>
      </c>
      <c r="I147" s="34">
        <v>1500</v>
      </c>
      <c r="K147" s="60">
        <v>1500</v>
      </c>
      <c r="M147" s="11">
        <f t="shared" si="11"/>
        <v>4500</v>
      </c>
    </row>
    <row r="148" spans="1:13" ht="15.75" x14ac:dyDescent="0.3">
      <c r="A148" s="134" t="s">
        <v>32</v>
      </c>
      <c r="B148" s="32"/>
      <c r="C148" s="81">
        <f>SUM(C144:C147)</f>
        <v>1214</v>
      </c>
      <c r="D148" s="32"/>
      <c r="E148" s="81">
        <f>SUM(E144:E147)</f>
        <v>3684.3599999999997</v>
      </c>
      <c r="F148" s="32"/>
      <c r="G148" s="81">
        <f>SUM(G144:G147)</f>
        <v>3741</v>
      </c>
      <c r="H148" s="32"/>
      <c r="I148" s="81">
        <f>SUM(I144:I147)</f>
        <v>4063.2</v>
      </c>
      <c r="J148" s="32"/>
      <c r="K148" s="81">
        <f>SUM(K144:K147)</f>
        <v>2190.25</v>
      </c>
      <c r="L148" s="32"/>
      <c r="M148" s="79">
        <f>SUM(C148+E148+G148+I148+K148)</f>
        <v>14892.810000000001</v>
      </c>
    </row>
    <row r="149" spans="1:13" ht="15.75" x14ac:dyDescent="0.3">
      <c r="A149" s="127" t="s">
        <v>84</v>
      </c>
      <c r="B149" s="9"/>
      <c r="C149" s="34"/>
      <c r="D149" s="31"/>
      <c r="E149" s="34"/>
      <c r="F149" s="31"/>
      <c r="G149" s="34"/>
      <c r="H149" s="31"/>
      <c r="I149" s="34"/>
      <c r="J149" s="31"/>
      <c r="K149" s="78"/>
      <c r="L149" s="31"/>
      <c r="M149" s="76"/>
    </row>
    <row r="150" spans="1:13" ht="15.75" x14ac:dyDescent="0.3">
      <c r="A150" s="128" t="s">
        <v>85</v>
      </c>
      <c r="B150" s="9"/>
      <c r="C150" s="1">
        <f>13.55+29.9+6.63+40+13.55+6.63+4.2+22+21.5+64.6+53.09</f>
        <v>275.64999999999998</v>
      </c>
      <c r="E150" s="34">
        <f>21.9+5.76+29.9+13.55+7.09+2.1+22+3.4+3.78+61.2+52.05+106.5</f>
        <v>329.23</v>
      </c>
      <c r="G150" s="34">
        <f>4.2+22+57.8+52.46+29.9+40+13.55+21.9</f>
        <v>241.81000000000003</v>
      </c>
      <c r="I150" s="34">
        <f>20.3+41.4+1.7+22.1+4+6.8+1.7+2+1.7+0.85+2+0.85+66+0.85+29.9+6.45+4.2+2.55+12+0.85+0.85+0.85+13.6+16+1.7+22+0.85+2+2+2+1.7+2+2+2.55+2+1.7+0.85+2+38+27+0.85+2+2+0.85</f>
        <v>375.55</v>
      </c>
      <c r="K150" s="60">
        <f>21.9+41.4+2+0.85+2+2+2+2.55+2+2+2+2+8.39+5.57+7.71+29.9+40+0.85+4.2+0.85+121.62+2+2+2+2+2+2+2+2+2+2+2+1.7+29+2+2+2+2+0.85+0.85+2+2+2+2+2</f>
        <v>374.19</v>
      </c>
      <c r="M150" s="11">
        <f t="shared" ref="M150:M153" si="12">SUM(C150:K150)</f>
        <v>1596.43</v>
      </c>
    </row>
    <row r="151" spans="1:13" ht="15.75" x14ac:dyDescent="0.3">
      <c r="A151" s="128" t="s">
        <v>86</v>
      </c>
      <c r="B151" s="9"/>
      <c r="C151" s="1">
        <v>0</v>
      </c>
      <c r="E151" s="34">
        <v>0</v>
      </c>
      <c r="G151" s="34">
        <v>594.99</v>
      </c>
      <c r="I151" s="34">
        <v>0</v>
      </c>
      <c r="K151" s="60">
        <v>0</v>
      </c>
      <c r="M151" s="11">
        <f t="shared" si="12"/>
        <v>594.99</v>
      </c>
    </row>
    <row r="152" spans="1:13" ht="15.75" x14ac:dyDescent="0.3">
      <c r="A152" s="128" t="s">
        <v>200</v>
      </c>
      <c r="B152" s="9"/>
      <c r="C152" s="1">
        <v>0</v>
      </c>
      <c r="E152" s="34">
        <v>0</v>
      </c>
      <c r="G152" s="34">
        <f>258</f>
        <v>258</v>
      </c>
      <c r="I152" s="34">
        <v>0</v>
      </c>
      <c r="K152" s="60">
        <v>0</v>
      </c>
      <c r="M152" s="11">
        <f t="shared" si="12"/>
        <v>258</v>
      </c>
    </row>
    <row r="153" spans="1:13" ht="15.75" x14ac:dyDescent="0.3">
      <c r="A153" s="128" t="s">
        <v>87</v>
      </c>
      <c r="B153" s="9"/>
      <c r="C153" s="1">
        <f>274.34+900</f>
        <v>1174.3399999999999</v>
      </c>
      <c r="E153" s="34">
        <f>298.6</f>
        <v>298.60000000000002</v>
      </c>
      <c r="G153" s="34">
        <f>298.6</f>
        <v>298.60000000000002</v>
      </c>
      <c r="I153" s="34">
        <f>393.64</f>
        <v>393.64</v>
      </c>
      <c r="K153" s="60">
        <v>0</v>
      </c>
      <c r="M153" s="11">
        <f t="shared" si="12"/>
        <v>2165.1799999999998</v>
      </c>
    </row>
    <row r="154" spans="1:13" ht="15.75" x14ac:dyDescent="0.3">
      <c r="A154" s="134" t="s">
        <v>32</v>
      </c>
      <c r="B154" s="32"/>
      <c r="C154" s="81">
        <f>SUM(C149:C153)</f>
        <v>1449.9899999999998</v>
      </c>
      <c r="D154" s="32"/>
      <c r="E154" s="81">
        <f>SUM(E149:E153)</f>
        <v>627.83000000000004</v>
      </c>
      <c r="F154" s="32"/>
      <c r="G154" s="81">
        <f>SUM(G149:G153)</f>
        <v>1393.4</v>
      </c>
      <c r="H154" s="32"/>
      <c r="I154" s="81">
        <f>SUM(I149:I153)</f>
        <v>769.19</v>
      </c>
      <c r="J154" s="32"/>
      <c r="K154" s="81">
        <f>SUM(K149:K153)</f>
        <v>374.19</v>
      </c>
      <c r="L154" s="32"/>
      <c r="M154" s="79">
        <f>SUM(C154+E154+G154+I154+K154)</f>
        <v>4614.5999999999995</v>
      </c>
    </row>
    <row r="155" spans="1:13" s="31" customFormat="1" ht="15.75" x14ac:dyDescent="0.3">
      <c r="A155" s="118"/>
      <c r="B155" s="32"/>
      <c r="C155" s="69"/>
      <c r="D155" s="32"/>
      <c r="E155" s="69"/>
      <c r="F155" s="32"/>
      <c r="G155" s="69"/>
      <c r="H155" s="32"/>
      <c r="I155" s="69"/>
      <c r="J155" s="32"/>
      <c r="K155" s="69"/>
      <c r="L155" s="32"/>
      <c r="M155" s="76"/>
    </row>
    <row r="156" spans="1:13" ht="15.75" x14ac:dyDescent="0.3">
      <c r="A156" s="134" t="s">
        <v>32</v>
      </c>
      <c r="B156" s="32"/>
      <c r="C156" s="81">
        <f>SUM(C154+C148+C142+C137+C132+C125+C89+C82+C75+C72+C67+C59+C54)</f>
        <v>163049.38500000001</v>
      </c>
      <c r="D156" s="32"/>
      <c r="E156" s="81">
        <f>SUM(E154+E148+E142+E137+E132+E125+E89+E82+E75+E72+E67+E59+E54)</f>
        <v>267777.06</v>
      </c>
      <c r="F156" s="32"/>
      <c r="G156" s="81">
        <f>SUM(G154+G148+G142+G137+G132+G125+G89+G82+G75+G72+G67+G59+G54)</f>
        <v>193929.21000000002</v>
      </c>
      <c r="H156" s="32"/>
      <c r="I156" s="81">
        <f>SUM(I154+I148+I142+I137+I132+I125+I89+I82+I75+I72+I67+I59+I54)</f>
        <v>185009.63999999996</v>
      </c>
      <c r="J156" s="32"/>
      <c r="K156" s="81">
        <f>SUM(K154+K148+K142+K137+K132+K125+K89+K82+K75+K72+K67+K59+K54)</f>
        <v>228737.88</v>
      </c>
      <c r="L156" s="32"/>
      <c r="M156" s="79">
        <f>SUM(M54+M59+M67+M72+M75+M82+M89+M125+M132+M137+M142+M148+M154)</f>
        <v>1038503.175</v>
      </c>
    </row>
    <row r="157" spans="1:13" s="31" customFormat="1" ht="15.75" x14ac:dyDescent="0.3">
      <c r="A157" s="118"/>
      <c r="B157" s="32"/>
      <c r="C157" s="69"/>
      <c r="D157" s="32"/>
      <c r="E157" s="69"/>
      <c r="F157" s="32"/>
      <c r="G157" s="69"/>
      <c r="H157" s="32"/>
      <c r="I157" s="69"/>
      <c r="J157" s="32"/>
      <c r="K157" s="69"/>
      <c r="L157" s="32"/>
      <c r="M157" s="76"/>
    </row>
    <row r="158" spans="1:13" s="31" customFormat="1" ht="15.75" hidden="1" x14ac:dyDescent="0.3">
      <c r="A158" s="119" t="s">
        <v>176</v>
      </c>
      <c r="B158" s="32"/>
      <c r="C158" s="34"/>
      <c r="E158" s="34"/>
      <c r="G158" s="34"/>
      <c r="I158" s="34"/>
      <c r="K158" s="78"/>
      <c r="M158" s="76"/>
    </row>
    <row r="159" spans="1:13" s="31" customFormat="1" ht="15.75" hidden="1" x14ac:dyDescent="0.3">
      <c r="A159" s="120" t="s">
        <v>178</v>
      </c>
      <c r="B159" s="32"/>
      <c r="C159" s="34">
        <v>0</v>
      </c>
      <c r="E159" s="34">
        <v>0</v>
      </c>
      <c r="G159" s="34">
        <v>0</v>
      </c>
      <c r="I159" s="34">
        <f>1850</f>
        <v>1850</v>
      </c>
      <c r="K159" s="78">
        <f>13031.55+2000</f>
        <v>15031.55</v>
      </c>
      <c r="M159" s="76">
        <f>SUM(C159+E159+G159+I159+K159)</f>
        <v>16881.55</v>
      </c>
    </row>
    <row r="160" spans="1:13" s="31" customFormat="1" ht="15.75" hidden="1" x14ac:dyDescent="0.3">
      <c r="A160" s="120" t="s">
        <v>177</v>
      </c>
      <c r="B160" s="32"/>
      <c r="C160" s="34">
        <v>0</v>
      </c>
      <c r="E160" s="34">
        <v>0</v>
      </c>
      <c r="G160" s="34">
        <v>0</v>
      </c>
      <c r="I160" s="34">
        <v>0</v>
      </c>
      <c r="K160" s="78">
        <v>0</v>
      </c>
      <c r="M160" s="76">
        <f t="shared" ref="M160:M166" si="13">SUM(C160+E160+G160+I160+K160)</f>
        <v>0</v>
      </c>
    </row>
    <row r="161" spans="1:13" s="31" customFormat="1" ht="15.75" hidden="1" x14ac:dyDescent="0.3">
      <c r="A161" s="120" t="s">
        <v>228</v>
      </c>
      <c r="B161" s="32"/>
      <c r="C161" s="34">
        <v>2122.41</v>
      </c>
      <c r="E161" s="34">
        <v>0</v>
      </c>
      <c r="G161" s="34">
        <v>0</v>
      </c>
      <c r="I161" s="34">
        <v>0</v>
      </c>
      <c r="K161" s="78">
        <v>0</v>
      </c>
      <c r="M161" s="76">
        <f t="shared" si="13"/>
        <v>2122.41</v>
      </c>
    </row>
    <row r="162" spans="1:13" s="31" customFormat="1" ht="15.75" hidden="1" x14ac:dyDescent="0.3">
      <c r="A162" s="120" t="s">
        <v>192</v>
      </c>
      <c r="B162" s="32"/>
      <c r="C162" s="34">
        <f>7500</f>
        <v>7500</v>
      </c>
      <c r="E162" s="34">
        <v>0</v>
      </c>
      <c r="G162" s="34">
        <v>0</v>
      </c>
      <c r="I162" s="34">
        <v>0</v>
      </c>
      <c r="K162" s="78">
        <v>0</v>
      </c>
      <c r="M162" s="76">
        <f t="shared" si="13"/>
        <v>7500</v>
      </c>
    </row>
    <row r="163" spans="1:13" s="31" customFormat="1" ht="15.75" hidden="1" x14ac:dyDescent="0.3">
      <c r="A163" s="120" t="s">
        <v>184</v>
      </c>
      <c r="B163" s="32"/>
      <c r="C163" s="34">
        <f>150</f>
        <v>150</v>
      </c>
      <c r="E163" s="34">
        <v>0</v>
      </c>
      <c r="G163" s="34">
        <v>0</v>
      </c>
      <c r="I163" s="34">
        <v>0</v>
      </c>
      <c r="K163" s="78">
        <v>0</v>
      </c>
      <c r="M163" s="76">
        <f t="shared" si="13"/>
        <v>150</v>
      </c>
    </row>
    <row r="164" spans="1:13" s="31" customFormat="1" ht="15.75" hidden="1" x14ac:dyDescent="0.3">
      <c r="A164" s="120" t="s">
        <v>180</v>
      </c>
      <c r="B164" s="32"/>
      <c r="C164" s="34">
        <f>452+307</f>
        <v>759</v>
      </c>
      <c r="E164" s="34">
        <f>21.9</f>
        <v>21.9</v>
      </c>
      <c r="G164" s="34">
        <v>0</v>
      </c>
      <c r="I164" s="34">
        <v>0</v>
      </c>
      <c r="K164" s="78">
        <v>0</v>
      </c>
      <c r="M164" s="76">
        <f t="shared" si="13"/>
        <v>780.9</v>
      </c>
    </row>
    <row r="165" spans="1:13" s="31" customFormat="1" ht="15.75" hidden="1" x14ac:dyDescent="0.3">
      <c r="A165" s="120" t="s">
        <v>194</v>
      </c>
      <c r="B165" s="32"/>
      <c r="C165" s="34">
        <v>0</v>
      </c>
      <c r="E165" s="34">
        <f>149.87</f>
        <v>149.87</v>
      </c>
      <c r="G165" s="34">
        <v>0</v>
      </c>
      <c r="I165" s="34">
        <v>0</v>
      </c>
      <c r="K165" s="78">
        <v>0</v>
      </c>
      <c r="M165" s="76">
        <f t="shared" si="13"/>
        <v>149.87</v>
      </c>
    </row>
    <row r="166" spans="1:13" s="31" customFormat="1" ht="15.75" hidden="1" x14ac:dyDescent="0.3">
      <c r="A166" s="120" t="s">
        <v>203</v>
      </c>
      <c r="B166" s="32"/>
      <c r="C166" s="34">
        <v>0</v>
      </c>
      <c r="E166" s="34">
        <v>0</v>
      </c>
      <c r="G166" s="34">
        <v>0</v>
      </c>
      <c r="I166" s="34">
        <f>1426.35</f>
        <v>1426.35</v>
      </c>
      <c r="K166" s="78">
        <v>0</v>
      </c>
      <c r="M166" s="76">
        <f t="shared" si="13"/>
        <v>1426.35</v>
      </c>
    </row>
    <row r="167" spans="1:13" s="31" customFormat="1" ht="15.75" hidden="1" x14ac:dyDescent="0.3">
      <c r="A167" s="118" t="s">
        <v>32</v>
      </c>
      <c r="B167" s="32"/>
      <c r="C167" s="69">
        <f>SUM(C159:C166)</f>
        <v>10531.41</v>
      </c>
      <c r="D167" s="32"/>
      <c r="E167" s="69">
        <f>SUM(E159:E166)</f>
        <v>171.77</v>
      </c>
      <c r="F167" s="32"/>
      <c r="G167" s="69">
        <f>SUM(G159:G166)</f>
        <v>0</v>
      </c>
      <c r="H167" s="32"/>
      <c r="I167" s="69">
        <f>SUM(I159:I166)</f>
        <v>3276.35</v>
      </c>
      <c r="J167" s="32"/>
      <c r="K167" s="69">
        <f>SUM(K159:K166)</f>
        <v>15031.55</v>
      </c>
      <c r="L167" s="32"/>
      <c r="M167" s="76">
        <f>SUM(C167+E167+G167+I167+K167)</f>
        <v>29011.08</v>
      </c>
    </row>
    <row r="168" spans="1:13" s="31" customFormat="1" hidden="1" x14ac:dyDescent="0.25">
      <c r="A168" s="121"/>
      <c r="K168" s="80"/>
    </row>
    <row r="169" spans="1:13" s="31" customFormat="1" ht="15.75" hidden="1" x14ac:dyDescent="0.3">
      <c r="A169" s="118" t="s">
        <v>32</v>
      </c>
      <c r="B169" s="32"/>
      <c r="C169" s="69">
        <f>SUM(C167+C154+C148+C142+C137+C132+C125+C89+C82+C75+C72+C67+C59+C54)</f>
        <v>173580.79500000001</v>
      </c>
      <c r="D169" s="32"/>
      <c r="E169" s="69">
        <f>SUM(E167+E154+E148+E142+E137+E132+E125+E89+E82+E75+E72+E67+E59+E54)</f>
        <v>267948.83</v>
      </c>
      <c r="F169" s="32"/>
      <c r="G169" s="69">
        <f>SUM(G167+G154+G148+G142+G137+G132+G125+G89+G82+G75+G72+G67+G59+G54)</f>
        <v>193929.21000000002</v>
      </c>
      <c r="H169" s="32"/>
      <c r="I169" s="69">
        <f>SUM(I167+I154+I148+I142+I137+I132+I125+I89+I82+I75+I72+I67+I59+I54)</f>
        <v>188285.98999999996</v>
      </c>
      <c r="J169" s="32"/>
      <c r="K169" s="69">
        <f>SUM(K167+K154+K148+K142+K137+K132+K125+K89+K82+K75+K72+K67+K59+K54)</f>
        <v>243769.43</v>
      </c>
      <c r="L169" s="32"/>
      <c r="M169" s="76">
        <f>SUM(M54+M59+M67+M72+M75+M82+M89+M125+M132+M137+M142+M148+M154+M167)</f>
        <v>1067514.2550000001</v>
      </c>
    </row>
    <row r="170" spans="1:13" s="31" customFormat="1" hidden="1" x14ac:dyDescent="0.25">
      <c r="A170" s="121"/>
      <c r="K170" s="80"/>
    </row>
    <row r="171" spans="1:13" s="31" customFormat="1" hidden="1" x14ac:dyDescent="0.25">
      <c r="A171" s="121"/>
      <c r="K171" s="80"/>
    </row>
  </sheetData>
  <mergeCells count="2">
    <mergeCell ref="C2:K2"/>
    <mergeCell ref="C3:K3"/>
  </mergeCells>
  <conditionalFormatting sqref="A53">
    <cfRule type="dataBar" priority="91">
      <dataBar>
        <cfvo type="min"/>
        <cfvo type="max"/>
        <color theme="0"/>
      </dataBar>
    </cfRule>
    <cfRule type="dataBar" priority="92">
      <dataBar>
        <cfvo type="min"/>
        <cfvo type="max"/>
        <color theme="0"/>
      </dataBar>
    </cfRule>
  </conditionalFormatting>
  <conditionalFormatting sqref="A90">
    <cfRule type="dataBar" priority="87">
      <dataBar>
        <cfvo type="min"/>
        <cfvo type="max"/>
        <color theme="0"/>
      </dataBar>
    </cfRule>
    <cfRule type="dataBar" priority="88">
      <dataBar>
        <cfvo type="min"/>
        <cfvo type="max"/>
        <color theme="0"/>
      </dataBar>
    </cfRule>
  </conditionalFormatting>
  <conditionalFormatting sqref="A92">
    <cfRule type="dataBar" priority="85">
      <dataBar>
        <cfvo type="min"/>
        <cfvo type="max"/>
        <color theme="0"/>
      </dataBar>
    </cfRule>
    <cfRule type="dataBar" priority="86">
      <dataBar>
        <cfvo type="min"/>
        <cfvo type="max"/>
        <color theme="0"/>
      </dataBar>
    </cfRule>
  </conditionalFormatting>
  <conditionalFormatting sqref="A115">
    <cfRule type="dataBar" priority="83">
      <dataBar>
        <cfvo type="min"/>
        <cfvo type="max"/>
        <color theme="0"/>
      </dataBar>
    </cfRule>
    <cfRule type="dataBar" priority="84">
      <dataBar>
        <cfvo type="min"/>
        <cfvo type="max"/>
        <color theme="0"/>
      </dataBar>
    </cfRule>
  </conditionalFormatting>
  <conditionalFormatting sqref="A132:A133">
    <cfRule type="dataBar" priority="77">
      <dataBar>
        <cfvo type="min"/>
        <cfvo type="max"/>
        <color theme="0"/>
      </dataBar>
    </cfRule>
    <cfRule type="dataBar" priority="78">
      <dataBar>
        <cfvo type="min"/>
        <cfvo type="max"/>
        <color theme="0"/>
      </dataBar>
    </cfRule>
  </conditionalFormatting>
  <conditionalFormatting sqref="A132:A133">
    <cfRule type="dataBar" priority="74">
      <dataBar>
        <cfvo type="min"/>
        <cfvo type="max"/>
        <color rgb="FFFF555A"/>
      </dataBar>
    </cfRule>
    <cfRule type="iconSet" priority="75">
      <iconSet iconSet="4TrafficLights">
        <cfvo type="percent" val="0"/>
        <cfvo type="percent" val="25"/>
        <cfvo type="percent" val="50"/>
        <cfvo type="percent" val="75"/>
      </iconSet>
    </cfRule>
    <cfRule type="dataBar" priority="76">
      <dataBar>
        <cfvo type="min"/>
        <cfvo type="max"/>
        <color rgb="FF638EC6"/>
      </dataBar>
    </cfRule>
  </conditionalFormatting>
  <conditionalFormatting sqref="A139">
    <cfRule type="dataBar" priority="72">
      <dataBar>
        <cfvo type="min"/>
        <cfvo type="max"/>
        <color theme="0"/>
      </dataBar>
    </cfRule>
    <cfRule type="dataBar" priority="73">
      <dataBar>
        <cfvo type="min"/>
        <cfvo type="max"/>
        <color theme="0"/>
      </dataBar>
    </cfRule>
  </conditionalFormatting>
  <conditionalFormatting sqref="A139">
    <cfRule type="dataBar" priority="69">
      <dataBar>
        <cfvo type="min"/>
        <cfvo type="max"/>
        <color rgb="FFFF555A"/>
      </dataBar>
    </cfRule>
    <cfRule type="iconSet" priority="70">
      <iconSet iconSet="4TrafficLights">
        <cfvo type="percent" val="0"/>
        <cfvo type="percent" val="25"/>
        <cfvo type="percent" val="50"/>
        <cfvo type="percent" val="75"/>
      </iconSet>
    </cfRule>
    <cfRule type="dataBar" priority="71">
      <dataBar>
        <cfvo type="min"/>
        <cfvo type="max"/>
        <color rgb="FF638EC6"/>
      </dataBar>
    </cfRule>
  </conditionalFormatting>
  <conditionalFormatting sqref="A142:A144">
    <cfRule type="dataBar" priority="67">
      <dataBar>
        <cfvo type="min"/>
        <cfvo type="max"/>
        <color theme="0"/>
      </dataBar>
    </cfRule>
    <cfRule type="dataBar" priority="68">
      <dataBar>
        <cfvo type="min"/>
        <cfvo type="max"/>
        <color theme="0"/>
      </dataBar>
    </cfRule>
  </conditionalFormatting>
  <conditionalFormatting sqref="A142:A144">
    <cfRule type="dataBar" priority="64">
      <dataBar>
        <cfvo type="min"/>
        <cfvo type="max"/>
        <color rgb="FFFF555A"/>
      </dataBar>
    </cfRule>
    <cfRule type="iconSet" priority="65">
      <iconSet iconSet="4TrafficLights">
        <cfvo type="percent" val="0"/>
        <cfvo type="percent" val="25"/>
        <cfvo type="percent" val="50"/>
        <cfvo type="percent" val="75"/>
      </iconSet>
    </cfRule>
    <cfRule type="dataBar" priority="66">
      <dataBar>
        <cfvo type="min"/>
        <cfvo type="max"/>
        <color rgb="FF638EC6"/>
      </dataBar>
    </cfRule>
  </conditionalFormatting>
  <conditionalFormatting sqref="A143">
    <cfRule type="dataBar" priority="62">
      <dataBar>
        <cfvo type="min"/>
        <cfvo type="max"/>
        <color theme="0"/>
      </dataBar>
    </cfRule>
    <cfRule type="dataBar" priority="63">
      <dataBar>
        <cfvo type="min"/>
        <cfvo type="max"/>
        <color theme="0"/>
      </dataBar>
    </cfRule>
  </conditionalFormatting>
  <conditionalFormatting sqref="A143">
    <cfRule type="dataBar" priority="59">
      <dataBar>
        <cfvo type="min"/>
        <cfvo type="max"/>
        <color rgb="FFFF555A"/>
      </dataBar>
    </cfRule>
    <cfRule type="iconSet" priority="60">
      <iconSet iconSet="4TrafficLights">
        <cfvo type="percent" val="0"/>
        <cfvo type="percent" val="25"/>
        <cfvo type="percent" val="50"/>
        <cfvo type="percent" val="75"/>
      </iconSet>
    </cfRule>
    <cfRule type="dataBar" priority="61">
      <dataBar>
        <cfvo type="min"/>
        <cfvo type="max"/>
        <color rgb="FF638EC6"/>
      </dataBar>
    </cfRule>
  </conditionalFormatting>
  <conditionalFormatting sqref="A147">
    <cfRule type="dataBar" priority="57">
      <dataBar>
        <cfvo type="min"/>
        <cfvo type="max"/>
        <color theme="0"/>
      </dataBar>
    </cfRule>
    <cfRule type="dataBar" priority="58">
      <dataBar>
        <cfvo type="min"/>
        <cfvo type="max"/>
        <color theme="0"/>
      </dataBar>
    </cfRule>
  </conditionalFormatting>
  <conditionalFormatting sqref="A158">
    <cfRule type="dataBar" priority="55">
      <dataBar>
        <cfvo type="min"/>
        <cfvo type="max"/>
        <color theme="0"/>
      </dataBar>
    </cfRule>
    <cfRule type="dataBar" priority="56">
      <dataBar>
        <cfvo type="min"/>
        <cfvo type="max"/>
        <color theme="0"/>
      </dataBar>
    </cfRule>
  </conditionalFormatting>
  <conditionalFormatting sqref="A158">
    <cfRule type="dataBar" priority="52">
      <dataBar>
        <cfvo type="min"/>
        <cfvo type="max"/>
        <color rgb="FFFF555A"/>
      </dataBar>
    </cfRule>
    <cfRule type="iconSet" priority="53">
      <iconSet iconSet="4TrafficLights">
        <cfvo type="percent" val="0"/>
        <cfvo type="percent" val="25"/>
        <cfvo type="percent" val="50"/>
        <cfvo type="percent" val="75"/>
      </iconSet>
    </cfRule>
    <cfRule type="dataBar" priority="54">
      <dataBar>
        <cfvo type="min"/>
        <cfvo type="max"/>
        <color rgb="FF638EC6"/>
      </dataBar>
    </cfRule>
  </conditionalFormatting>
  <conditionalFormatting sqref="A145">
    <cfRule type="dataBar" priority="45">
      <dataBar>
        <cfvo type="min"/>
        <cfvo type="max"/>
        <color theme="0"/>
      </dataBar>
    </cfRule>
    <cfRule type="dataBar" priority="46">
      <dataBar>
        <cfvo type="min"/>
        <cfvo type="max"/>
        <color theme="0"/>
      </dataBar>
    </cfRule>
  </conditionalFormatting>
  <conditionalFormatting sqref="A149:A153">
    <cfRule type="dataBar" priority="43">
      <dataBar>
        <cfvo type="min"/>
        <cfvo type="max"/>
        <color theme="0"/>
      </dataBar>
    </cfRule>
    <cfRule type="dataBar" priority="44">
      <dataBar>
        <cfvo type="min"/>
        <cfvo type="max"/>
        <color theme="0"/>
      </dataBar>
    </cfRule>
  </conditionalFormatting>
  <conditionalFormatting sqref="A148:A157">
    <cfRule type="dataBar" priority="41">
      <dataBar>
        <cfvo type="min"/>
        <cfvo type="max"/>
        <color theme="0"/>
      </dataBar>
    </cfRule>
    <cfRule type="dataBar" priority="42">
      <dataBar>
        <cfvo type="min"/>
        <cfvo type="max"/>
        <color theme="0"/>
      </dataBar>
    </cfRule>
  </conditionalFormatting>
  <conditionalFormatting sqref="A148:A157">
    <cfRule type="dataBar" priority="38">
      <dataBar>
        <cfvo type="min"/>
        <cfvo type="max"/>
        <color rgb="FFFF555A"/>
      </dataBar>
    </cfRule>
    <cfRule type="iconSet" priority="39">
      <iconSet iconSet="4TrafficLights">
        <cfvo type="percent" val="0"/>
        <cfvo type="percent" val="25"/>
        <cfvo type="percent" val="50"/>
        <cfvo type="percent" val="75"/>
      </iconSet>
    </cfRule>
    <cfRule type="dataBar" priority="40">
      <dataBar>
        <cfvo type="min"/>
        <cfvo type="max"/>
        <color rgb="FF638EC6"/>
      </dataBar>
    </cfRule>
  </conditionalFormatting>
  <conditionalFormatting sqref="A158:A166">
    <cfRule type="dataBar" priority="31">
      <dataBar>
        <cfvo type="min"/>
        <cfvo type="max"/>
        <color theme="0"/>
      </dataBar>
    </cfRule>
    <cfRule type="dataBar" priority="32">
      <dataBar>
        <cfvo type="min"/>
        <cfvo type="max"/>
        <color theme="0"/>
      </dataBar>
    </cfRule>
  </conditionalFormatting>
  <conditionalFormatting sqref="A167">
    <cfRule type="dataBar" priority="29">
      <dataBar>
        <cfvo type="min"/>
        <cfvo type="max"/>
        <color theme="0"/>
      </dataBar>
    </cfRule>
    <cfRule type="dataBar" priority="30">
      <dataBar>
        <cfvo type="min"/>
        <cfvo type="max"/>
        <color theme="0"/>
      </dataBar>
    </cfRule>
  </conditionalFormatting>
  <conditionalFormatting sqref="A167">
    <cfRule type="dataBar" priority="26">
      <dataBar>
        <cfvo type="min"/>
        <cfvo type="max"/>
        <color rgb="FFFF555A"/>
      </dataBar>
    </cfRule>
    <cfRule type="iconSet" priority="27">
      <iconSet iconSet="4TrafficLights">
        <cfvo type="percent" val="0"/>
        <cfvo type="percent" val="25"/>
        <cfvo type="percent" val="50"/>
        <cfvo type="percent" val="75"/>
      </iconSet>
    </cfRule>
    <cfRule type="dataBar" priority="28">
      <dataBar>
        <cfvo type="min"/>
        <cfvo type="max"/>
        <color rgb="FF638EC6"/>
      </dataBar>
    </cfRule>
  </conditionalFormatting>
  <conditionalFormatting sqref="A167">
    <cfRule type="dataBar" priority="24">
      <dataBar>
        <cfvo type="min"/>
        <cfvo type="max"/>
        <color theme="0"/>
      </dataBar>
    </cfRule>
    <cfRule type="dataBar" priority="25">
      <dataBar>
        <cfvo type="min"/>
        <cfvo type="max"/>
        <color theme="0"/>
      </dataBar>
    </cfRule>
  </conditionalFormatting>
  <conditionalFormatting sqref="A167">
    <cfRule type="dataBar" priority="21">
      <dataBar>
        <cfvo type="min"/>
        <cfvo type="max"/>
        <color rgb="FFFF555A"/>
      </dataBar>
    </cfRule>
    <cfRule type="iconSet" priority="22">
      <iconSet iconSet="4TrafficLights">
        <cfvo type="percent" val="0"/>
        <cfvo type="percent" val="25"/>
        <cfvo type="percent" val="50"/>
        <cfvo type="percent" val="75"/>
      </iconSet>
    </cfRule>
    <cfRule type="dataBar" priority="23">
      <dataBar>
        <cfvo type="min"/>
        <cfvo type="max"/>
        <color rgb="FF638EC6"/>
      </dataBar>
    </cfRule>
  </conditionalFormatting>
  <conditionalFormatting sqref="A169">
    <cfRule type="dataBar" priority="19">
      <dataBar>
        <cfvo type="min"/>
        <cfvo type="max"/>
        <color theme="0"/>
      </dataBar>
    </cfRule>
    <cfRule type="dataBar" priority="20">
      <dataBar>
        <cfvo type="min"/>
        <cfvo type="max"/>
        <color theme="0"/>
      </dataBar>
    </cfRule>
  </conditionalFormatting>
  <conditionalFormatting sqref="A169">
    <cfRule type="dataBar" priority="16">
      <dataBar>
        <cfvo type="min"/>
        <cfvo type="max"/>
        <color rgb="FFFF555A"/>
      </dataBar>
    </cfRule>
    <cfRule type="iconSet" priority="17">
      <iconSet iconSet="4TrafficLights">
        <cfvo type="percent" val="0"/>
        <cfvo type="percent" val="25"/>
        <cfvo type="percent" val="50"/>
        <cfvo type="percent" val="75"/>
      </iconSet>
    </cfRule>
    <cfRule type="dataBar" priority="18">
      <dataBar>
        <cfvo type="min"/>
        <cfvo type="max"/>
        <color rgb="FF638EC6"/>
      </dataBar>
    </cfRule>
  </conditionalFormatting>
  <conditionalFormatting sqref="A169">
    <cfRule type="dataBar" priority="14">
      <dataBar>
        <cfvo type="min"/>
        <cfvo type="max"/>
        <color theme="0"/>
      </dataBar>
    </cfRule>
    <cfRule type="dataBar" priority="15">
      <dataBar>
        <cfvo type="min"/>
        <cfvo type="max"/>
        <color theme="0"/>
      </dataBar>
    </cfRule>
  </conditionalFormatting>
  <conditionalFormatting sqref="A169">
    <cfRule type="dataBar" priority="11">
      <dataBar>
        <cfvo type="min"/>
        <cfvo type="max"/>
        <color rgb="FFFF555A"/>
      </dataBar>
    </cfRule>
    <cfRule type="iconSet" priority="12">
      <iconSet iconSet="4TrafficLights">
        <cfvo type="percent" val="0"/>
        <cfvo type="percent" val="25"/>
        <cfvo type="percent" val="50"/>
        <cfvo type="percent" val="75"/>
      </iconSet>
    </cfRule>
    <cfRule type="dataBar" priority="13">
      <dataBar>
        <cfvo type="min"/>
        <cfvo type="max"/>
        <color rgb="FF638EC6"/>
      </dataBar>
    </cfRule>
  </conditionalFormatting>
  <conditionalFormatting sqref="A156:A157">
    <cfRule type="dataBar" priority="9">
      <dataBar>
        <cfvo type="min"/>
        <cfvo type="max"/>
        <color theme="0"/>
      </dataBar>
    </cfRule>
    <cfRule type="dataBar" priority="10">
      <dataBar>
        <cfvo type="min"/>
        <cfvo type="max"/>
        <color theme="0"/>
      </dataBar>
    </cfRule>
  </conditionalFormatting>
  <conditionalFormatting sqref="A156:A157">
    <cfRule type="dataBar" priority="6">
      <dataBar>
        <cfvo type="min"/>
        <cfvo type="max"/>
        <color rgb="FFFF555A"/>
      </dataBar>
    </cfRule>
    <cfRule type="iconSet" priority="7">
      <iconSet iconSet="4TrafficLights">
        <cfvo type="percent" val="0"/>
        <cfvo type="percent" val="25"/>
        <cfvo type="percent" val="50"/>
        <cfvo type="percent" val="75"/>
      </iconSet>
    </cfRule>
    <cfRule type="dataBar" priority="8">
      <dataBar>
        <cfvo type="min"/>
        <cfvo type="max"/>
        <color rgb="FF638EC6"/>
      </dataBar>
    </cfRule>
  </conditionalFormatting>
  <conditionalFormatting sqref="A156:A157">
    <cfRule type="dataBar" priority="4">
      <dataBar>
        <cfvo type="min"/>
        <cfvo type="max"/>
        <color theme="0"/>
      </dataBar>
    </cfRule>
    <cfRule type="dataBar" priority="5">
      <dataBar>
        <cfvo type="min"/>
        <cfvo type="max"/>
        <color theme="0"/>
      </dataBar>
    </cfRule>
  </conditionalFormatting>
  <conditionalFormatting sqref="A156:A157">
    <cfRule type="dataBar" priority="1">
      <dataBar>
        <cfvo type="min"/>
        <cfvo type="max"/>
        <color rgb="FFFF555A"/>
      </dataBar>
    </cfRule>
    <cfRule type="iconSet" priority="2">
      <iconSet iconSet="4TrafficLights">
        <cfvo type="percent" val="0"/>
        <cfvo type="percent" val="25"/>
        <cfvo type="percent" val="50"/>
        <cfvo type="percent" val="75"/>
      </iconSet>
    </cfRule>
    <cfRule type="dataBar" priority="3">
      <dataBar>
        <cfvo type="min"/>
        <cfvo type="max"/>
        <color rgb="FF638EC6"/>
      </dataBar>
    </cfRule>
  </conditionalFormatting>
  <conditionalFormatting sqref="A94:A114">
    <cfRule type="dataBar" priority="124">
      <dataBar>
        <cfvo type="min"/>
        <cfvo type="max"/>
        <color theme="0"/>
      </dataBar>
    </cfRule>
    <cfRule type="dataBar" priority="125">
      <dataBar>
        <cfvo type="min"/>
        <cfvo type="max"/>
        <color theme="0"/>
      </dataBar>
    </cfRule>
  </conditionalFormatting>
  <conditionalFormatting sqref="A90:A115">
    <cfRule type="dataBar" priority="128">
      <dataBar>
        <cfvo type="min"/>
        <cfvo type="max"/>
        <color theme="0"/>
      </dataBar>
    </cfRule>
    <cfRule type="dataBar" priority="129">
      <dataBar>
        <cfvo type="min"/>
        <cfvo type="max"/>
        <color theme="0"/>
      </dataBar>
    </cfRule>
  </conditionalFormatting>
  <conditionalFormatting sqref="A93:A115">
    <cfRule type="dataBar" priority="132">
      <dataBar>
        <cfvo type="min"/>
        <cfvo type="max"/>
        <color theme="0"/>
      </dataBar>
    </cfRule>
    <cfRule type="dataBar" priority="133">
      <dataBar>
        <cfvo type="min"/>
        <cfvo type="max"/>
        <color theme="0"/>
      </dataBar>
    </cfRule>
  </conditionalFormatting>
  <conditionalFormatting sqref="A9:A125">
    <cfRule type="dataBar" priority="136">
      <dataBar>
        <cfvo type="min"/>
        <cfvo type="max"/>
        <color theme="0"/>
      </dataBar>
    </cfRule>
    <cfRule type="dataBar" priority="137">
      <dataBar>
        <cfvo type="min"/>
        <cfvo type="max"/>
        <color theme="0"/>
      </dataBar>
    </cfRule>
  </conditionalFormatting>
  <conditionalFormatting sqref="A9:A125">
    <cfRule type="dataBar" priority="140">
      <dataBar>
        <cfvo type="min"/>
        <cfvo type="max"/>
        <color rgb="FFFF555A"/>
      </dataBar>
    </cfRule>
    <cfRule type="iconSet" priority="141">
      <iconSet iconSet="4TrafficLights">
        <cfvo type="percent" val="0"/>
        <cfvo type="percent" val="25"/>
        <cfvo type="percent" val="50"/>
        <cfvo type="percent" val="75"/>
      </iconSet>
    </cfRule>
    <cfRule type="dataBar" priority="142">
      <dataBar>
        <cfvo type="min"/>
        <cfvo type="max"/>
        <color rgb="FF638EC6"/>
      </dataBar>
    </cfRule>
  </conditionalFormatting>
  <conditionalFormatting sqref="A126:A157">
    <cfRule type="dataBar" priority="161">
      <dataBar>
        <cfvo type="min"/>
        <cfvo type="max"/>
        <color theme="0"/>
      </dataBar>
    </cfRule>
    <cfRule type="dataBar" priority="162">
      <dataBar>
        <cfvo type="min"/>
        <cfvo type="max"/>
        <color theme="0"/>
      </dataBar>
    </cfRule>
  </conditionalFormatting>
  <conditionalFormatting sqref="A126:A157">
    <cfRule type="dataBar" priority="165">
      <dataBar>
        <cfvo type="min"/>
        <cfvo type="max"/>
        <color rgb="FFFF555A"/>
      </dataBar>
    </cfRule>
    <cfRule type="iconSet" priority="166">
      <iconSet iconSet="4TrafficLights">
        <cfvo type="percent" val="0"/>
        <cfvo type="percent" val="25"/>
        <cfvo type="percent" val="50"/>
        <cfvo type="percent" val="75"/>
      </iconSet>
    </cfRule>
    <cfRule type="dataBar" priority="167">
      <dataBar>
        <cfvo type="min"/>
        <cfvo type="max"/>
        <color rgb="FF638EC6"/>
      </dataBar>
    </cfRule>
  </conditionalFormatting>
  <pageMargins left="0" right="0" top="0" bottom="0" header="0.31496062992125984" footer="0.31496062992125984"/>
  <pageSetup paperSize="9" scale="7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3"/>
  <sheetViews>
    <sheetView zoomScale="91" zoomScaleNormal="91" workbookViewId="0">
      <selection activeCell="M15" sqref="M15"/>
    </sheetView>
  </sheetViews>
  <sheetFormatPr defaultRowHeight="15" x14ac:dyDescent="0.25"/>
  <cols>
    <col min="1" max="1" width="34.42578125" style="122" customWidth="1"/>
    <col min="2" max="2" width="0.5703125" customWidth="1"/>
    <col min="3" max="3" width="15.5703125" bestFit="1" customWidth="1"/>
    <col min="4" max="4" width="0.7109375" customWidth="1"/>
    <col min="5" max="5" width="15.5703125" style="31" bestFit="1" customWidth="1"/>
    <col min="6" max="6" width="0.85546875" customWidth="1"/>
    <col min="7" max="7" width="14.85546875" style="31" bestFit="1" customWidth="1"/>
    <col min="8" max="8" width="0.85546875" customWidth="1"/>
    <col min="9" max="9" width="14.85546875" style="31" bestFit="1" customWidth="1"/>
    <col min="10" max="10" width="0.7109375" customWidth="1"/>
    <col min="11" max="11" width="15.140625" style="75" customWidth="1"/>
    <col min="12" max="12" width="0.7109375" customWidth="1"/>
    <col min="13" max="13" width="16.42578125" bestFit="1" customWidth="1"/>
  </cols>
  <sheetData>
    <row r="1" spans="1:13" ht="15.75" x14ac:dyDescent="0.25">
      <c r="M1" s="93">
        <v>1</v>
      </c>
    </row>
    <row r="2" spans="1:13" ht="31.5" x14ac:dyDescent="0.5">
      <c r="C2" s="305" t="s">
        <v>204</v>
      </c>
      <c r="D2" s="305"/>
      <c r="E2" s="305"/>
      <c r="F2" s="305"/>
      <c r="G2" s="305"/>
      <c r="H2" s="305"/>
      <c r="I2" s="305"/>
      <c r="J2" s="305"/>
      <c r="K2" s="305"/>
    </row>
    <row r="3" spans="1:13" ht="31.5" x14ac:dyDescent="0.5">
      <c r="C3" s="305" t="s">
        <v>241</v>
      </c>
      <c r="D3" s="305"/>
      <c r="E3" s="305"/>
      <c r="F3" s="305"/>
      <c r="G3" s="305"/>
      <c r="H3" s="305"/>
      <c r="I3" s="305"/>
      <c r="J3" s="305"/>
      <c r="K3" s="305"/>
    </row>
    <row r="4" spans="1:13" s="3" customFormat="1" x14ac:dyDescent="0.25">
      <c r="A4" s="37"/>
      <c r="C4" s="136"/>
      <c r="E4" s="148"/>
      <c r="G4" s="148"/>
      <c r="I4" s="148"/>
      <c r="K4" s="136"/>
    </row>
    <row r="5" spans="1:13" s="35" customFormat="1" x14ac:dyDescent="0.25">
      <c r="A5" s="121"/>
      <c r="C5" s="149">
        <v>42005</v>
      </c>
      <c r="D5" s="150"/>
      <c r="E5" s="149">
        <v>42036</v>
      </c>
      <c r="F5" s="150"/>
      <c r="G5" s="149">
        <v>42064</v>
      </c>
      <c r="H5" s="150"/>
      <c r="I5" s="149">
        <v>42095</v>
      </c>
      <c r="J5" s="150"/>
      <c r="K5" s="149">
        <v>42125</v>
      </c>
      <c r="M5" s="68"/>
    </row>
    <row r="6" spans="1:13" s="35" customFormat="1" ht="21" x14ac:dyDescent="0.4">
      <c r="A6" s="124" t="s">
        <v>206</v>
      </c>
      <c r="C6" s="68"/>
      <c r="E6" s="68"/>
      <c r="G6" s="68"/>
      <c r="I6" s="68"/>
      <c r="K6" s="73"/>
      <c r="M6" s="71"/>
    </row>
    <row r="7" spans="1:13" s="35" customFormat="1" ht="16.5" x14ac:dyDescent="0.3">
      <c r="A7" s="125" t="s">
        <v>207</v>
      </c>
      <c r="C7" s="73">
        <f>46028.39</f>
        <v>46028.39</v>
      </c>
      <c r="D7" s="85"/>
      <c r="E7" s="73">
        <f>2495.13+41577.04+2495.13+17407.85</f>
        <v>63975.149999999994</v>
      </c>
      <c r="F7" s="85"/>
      <c r="G7" s="73">
        <f>2495.13+17407.85+46093.63</f>
        <v>65996.61</v>
      </c>
      <c r="H7" s="85"/>
      <c r="I7" s="73">
        <f>2495.13+17407.85+46120.82+6174.81</f>
        <v>72198.61</v>
      </c>
      <c r="J7" s="85"/>
      <c r="K7" s="73">
        <f>6174.81+2495.13+17407.85+39926.98</f>
        <v>66004.77</v>
      </c>
      <c r="L7" s="85"/>
      <c r="M7" s="86">
        <f>SUM(C7+E7+G7+I7+K7)</f>
        <v>314203.53000000003</v>
      </c>
    </row>
    <row r="8" spans="1:13" s="35" customFormat="1" ht="16.5" x14ac:dyDescent="0.3">
      <c r="A8" s="125" t="s">
        <v>208</v>
      </c>
      <c r="C8" s="73">
        <v>0</v>
      </c>
      <c r="D8" s="85"/>
      <c r="E8" s="73">
        <f>70250</f>
        <v>70250</v>
      </c>
      <c r="F8" s="85"/>
      <c r="G8" s="73">
        <f>70250</f>
        <v>70250</v>
      </c>
      <c r="H8" s="85"/>
      <c r="I8" s="73">
        <v>70250</v>
      </c>
      <c r="J8" s="85"/>
      <c r="K8" s="73">
        <f>70250</f>
        <v>70250</v>
      </c>
      <c r="L8" s="85"/>
      <c r="M8" s="86">
        <f t="shared" ref="M8:M12" si="0">SUM(C8+E8+G8+I8+K8)</f>
        <v>281000</v>
      </c>
    </row>
    <row r="9" spans="1:13" s="35" customFormat="1" ht="16.5" x14ac:dyDescent="0.3">
      <c r="A9" s="125" t="s">
        <v>209</v>
      </c>
      <c r="C9" s="73">
        <f>21708.86</f>
        <v>21708.86</v>
      </c>
      <c r="D9" s="85"/>
      <c r="E9" s="73">
        <f>48653.76</f>
        <v>48653.760000000002</v>
      </c>
      <c r="F9" s="85"/>
      <c r="G9" s="73">
        <f>25000+9117.2</f>
        <v>34117.199999999997</v>
      </c>
      <c r="H9" s="85"/>
      <c r="I9" s="73">
        <f>10552.02+25000</f>
        <v>35552.020000000004</v>
      </c>
      <c r="J9" s="85"/>
      <c r="K9" s="73">
        <f>25000+9058.27+25000</f>
        <v>59058.270000000004</v>
      </c>
      <c r="L9" s="85"/>
      <c r="M9" s="86">
        <f t="shared" si="0"/>
        <v>199090.11</v>
      </c>
    </row>
    <row r="10" spans="1:13" s="35" customFormat="1" ht="16.5" x14ac:dyDescent="0.3">
      <c r="A10" s="125" t="s">
        <v>232</v>
      </c>
      <c r="C10" s="73">
        <v>0</v>
      </c>
      <c r="D10" s="85"/>
      <c r="E10" s="73">
        <f>9500+85500</f>
        <v>95000</v>
      </c>
      <c r="F10" s="85"/>
      <c r="G10" s="73">
        <v>0</v>
      </c>
      <c r="H10" s="85"/>
      <c r="I10" s="73">
        <v>0</v>
      </c>
      <c r="J10" s="85"/>
      <c r="K10" s="73">
        <v>0</v>
      </c>
      <c r="L10" s="85"/>
      <c r="M10" s="86">
        <f t="shared" si="0"/>
        <v>95000</v>
      </c>
    </row>
    <row r="11" spans="1:13" s="35" customFormat="1" ht="16.5" x14ac:dyDescent="0.3">
      <c r="A11" s="125" t="s">
        <v>210</v>
      </c>
      <c r="C11" s="73">
        <f>150+1520+210+150+180+190+570+150+190+150+459+190+270+150+820+360+110+250+50+350+150+750</f>
        <v>7369</v>
      </c>
      <c r="D11" s="85"/>
      <c r="E11" s="73">
        <f>2940+150+150+372.4+195+290+60+50+50+800+194+150+1800+1000+1050+980</f>
        <v>10231.4</v>
      </c>
      <c r="F11" s="85"/>
      <c r="G11" s="73">
        <f>1820+130+115+63+150+140+1520+1000+300+50+150+850+50+150+1000+115+1500+350+850</f>
        <v>10303</v>
      </c>
      <c r="H11" s="85"/>
      <c r="I11" s="73">
        <f>1000+120+110+100+210+80+300+2140+450+213+80+450+150+1500</f>
        <v>6903</v>
      </c>
      <c r="J11" s="85"/>
      <c r="K11" s="73">
        <v>6802.2</v>
      </c>
      <c r="L11" s="85"/>
      <c r="M11" s="86">
        <f t="shared" si="0"/>
        <v>41608.6</v>
      </c>
    </row>
    <row r="12" spans="1:13" s="35" customFormat="1" ht="16.5" x14ac:dyDescent="0.3">
      <c r="A12" s="125" t="s">
        <v>235</v>
      </c>
      <c r="C12" s="73">
        <f>2466.01+9342.01</f>
        <v>11808.02</v>
      </c>
      <c r="D12" s="85"/>
      <c r="E12" s="73">
        <f>5310+3783.06</f>
        <v>9093.06</v>
      </c>
      <c r="F12" s="85"/>
      <c r="G12" s="73">
        <v>14141.91</v>
      </c>
      <c r="H12" s="85"/>
      <c r="I12" s="73">
        <v>4230</v>
      </c>
      <c r="J12" s="85"/>
      <c r="K12" s="73">
        <v>9669.5499999999993</v>
      </c>
      <c r="L12" s="85"/>
      <c r="M12" s="86">
        <f t="shared" si="0"/>
        <v>48942.540000000008</v>
      </c>
    </row>
    <row r="13" spans="1:13" s="35" customFormat="1" ht="21" x14ac:dyDescent="0.4">
      <c r="A13" s="126"/>
      <c r="C13" s="82">
        <f>SUM(C7:C12)</f>
        <v>86914.27</v>
      </c>
      <c r="E13" s="82">
        <f>SUM(E7:E12)</f>
        <v>297203.37000000005</v>
      </c>
      <c r="G13" s="82">
        <f>SUM(G7:G12)</f>
        <v>194808.72</v>
      </c>
      <c r="I13" s="82">
        <f>SUM(I7:I12)</f>
        <v>189133.63</v>
      </c>
      <c r="K13" s="82">
        <f>SUM(K7:K12)</f>
        <v>211784.79000000004</v>
      </c>
      <c r="M13" s="87">
        <f>SUM(C13+E13+G13+I13+K13)</f>
        <v>979844.78000000014</v>
      </c>
    </row>
  </sheetData>
  <mergeCells count="2">
    <mergeCell ref="C2:K2"/>
    <mergeCell ref="C3:K3"/>
  </mergeCells>
  <conditionalFormatting sqref="A6:A13">
    <cfRule type="dataBar" priority="93">
      <dataBar>
        <cfvo type="min"/>
        <cfvo type="max"/>
        <color theme="0"/>
      </dataBar>
    </cfRule>
    <cfRule type="dataBar" priority="94">
      <dataBar>
        <cfvo type="min"/>
        <cfvo type="max"/>
        <color theme="0"/>
      </dataBar>
    </cfRule>
  </conditionalFormatting>
  <conditionalFormatting sqref="A6:A13">
    <cfRule type="dataBar" priority="95">
      <dataBar>
        <cfvo type="min"/>
        <cfvo type="max"/>
        <color rgb="FFFF555A"/>
      </dataBar>
    </cfRule>
    <cfRule type="iconSet" priority="96">
      <iconSet iconSet="4TrafficLights">
        <cfvo type="percent" val="0"/>
        <cfvo type="percent" val="25"/>
        <cfvo type="percent" val="50"/>
        <cfvo type="percent" val="75"/>
      </iconSet>
    </cfRule>
    <cfRule type="dataBar" priority="97">
      <dataBar>
        <cfvo type="min"/>
        <cfvo type="max"/>
        <color rgb="FF638EC6"/>
      </dataBar>
    </cfRule>
  </conditionalFormatting>
  <pageMargins left="0" right="0" top="0" bottom="0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P172"/>
  <sheetViews>
    <sheetView zoomScale="91" zoomScaleNormal="91" workbookViewId="0">
      <selection activeCell="C21" sqref="C21"/>
    </sheetView>
  </sheetViews>
  <sheetFormatPr defaultRowHeight="15" x14ac:dyDescent="0.25"/>
  <cols>
    <col min="1" max="1" width="34.42578125" style="122" customWidth="1"/>
    <col min="2" max="2" width="0.5703125" customWidth="1"/>
    <col min="3" max="3" width="15.5703125" bestFit="1" customWidth="1"/>
    <col min="4" max="4" width="0.7109375" customWidth="1"/>
    <col min="5" max="5" width="15.5703125" style="31" bestFit="1" customWidth="1"/>
    <col min="6" max="6" width="0.85546875" customWidth="1"/>
    <col min="7" max="7" width="14.85546875" style="31" bestFit="1" customWidth="1"/>
    <col min="8" max="8" width="0.85546875" customWidth="1"/>
    <col min="9" max="9" width="14.85546875" style="31" bestFit="1" customWidth="1"/>
    <col min="10" max="10" width="0.7109375" customWidth="1"/>
    <col min="11" max="11" width="15.140625" style="75" customWidth="1"/>
    <col min="12" max="12" width="0.42578125" customWidth="1"/>
    <col min="13" max="13" width="16.42578125" bestFit="1" customWidth="1"/>
    <col min="14" max="15" width="13.7109375" bestFit="1" customWidth="1"/>
  </cols>
  <sheetData>
    <row r="1" spans="1:13" ht="15.75" x14ac:dyDescent="0.25">
      <c r="M1" s="93">
        <v>1</v>
      </c>
    </row>
    <row r="2" spans="1:13" ht="31.5" x14ac:dyDescent="0.5">
      <c r="C2" s="305" t="s">
        <v>204</v>
      </c>
      <c r="D2" s="305"/>
      <c r="E2" s="305"/>
      <c r="F2" s="305"/>
      <c r="G2" s="305"/>
      <c r="H2" s="305"/>
      <c r="I2" s="305"/>
      <c r="J2" s="305"/>
      <c r="K2" s="305"/>
    </row>
    <row r="3" spans="1:13" ht="31.5" x14ac:dyDescent="0.5">
      <c r="C3" s="305" t="s">
        <v>205</v>
      </c>
      <c r="D3" s="305"/>
      <c r="E3" s="305"/>
      <c r="F3" s="305"/>
      <c r="G3" s="305"/>
      <c r="H3" s="305"/>
      <c r="I3" s="305"/>
      <c r="J3" s="305"/>
      <c r="K3" s="305"/>
    </row>
    <row r="4" spans="1:13" s="3" customFormat="1" x14ac:dyDescent="0.25">
      <c r="A4" s="37"/>
      <c r="C4" s="136">
        <v>42005</v>
      </c>
      <c r="E4" s="33" t="s">
        <v>107</v>
      </c>
      <c r="G4" s="33" t="s">
        <v>108</v>
      </c>
      <c r="I4" s="33" t="s">
        <v>109</v>
      </c>
      <c r="K4" s="3" t="s">
        <v>110</v>
      </c>
    </row>
    <row r="5" spans="1:13" s="3" customFormat="1" x14ac:dyDescent="0.25">
      <c r="A5" s="123" t="s">
        <v>233</v>
      </c>
      <c r="C5" s="26">
        <f>11341.11+6058.75+15243.88+48000+12678.42+296.33+5629.32</f>
        <v>99247.81</v>
      </c>
      <c r="E5" s="137">
        <v>23112.7</v>
      </c>
      <c r="G5" s="137">
        <v>25560.6</v>
      </c>
      <c r="I5" s="137">
        <v>23537.200000000001</v>
      </c>
      <c r="K5" s="137">
        <v>-2258.87</v>
      </c>
      <c r="M5" s="26">
        <v>-19291.43</v>
      </c>
    </row>
    <row r="6" spans="1:13" s="2" customFormat="1" x14ac:dyDescent="0.25">
      <c r="A6" s="123" t="s">
        <v>230</v>
      </c>
      <c r="B6" s="3"/>
      <c r="C6" s="1">
        <f>SUM(C16)</f>
        <v>86914.27</v>
      </c>
      <c r="D6" s="1"/>
      <c r="E6" s="1">
        <f>SUM(E16)</f>
        <v>297203.37000000005</v>
      </c>
      <c r="F6" s="1"/>
      <c r="G6" s="1">
        <f>SUM(G16)</f>
        <v>194808.72</v>
      </c>
      <c r="H6" s="1"/>
      <c r="I6" s="1">
        <f>SUM(I16)</f>
        <v>189133.63</v>
      </c>
      <c r="J6" s="1"/>
      <c r="K6" s="1">
        <f>SUM(K16)</f>
        <v>211784.79000000004</v>
      </c>
      <c r="M6" s="10">
        <f>C5+C6+E6+G6+I6+K6</f>
        <v>1079092.5900000001</v>
      </c>
    </row>
    <row r="7" spans="1:13" x14ac:dyDescent="0.25">
      <c r="A7" s="123" t="s">
        <v>231</v>
      </c>
      <c r="B7" s="3"/>
      <c r="C7" s="1">
        <f>SUM(C157)</f>
        <v>163049.38500000001</v>
      </c>
      <c r="D7" s="1"/>
      <c r="E7" s="1">
        <f>SUM(E157)</f>
        <v>284749.68000000005</v>
      </c>
      <c r="F7" s="1"/>
      <c r="G7" s="1">
        <f>SUM(G157)</f>
        <v>196832.12</v>
      </c>
      <c r="H7" s="1"/>
      <c r="I7" s="1">
        <f>SUM(I157)</f>
        <v>214929.69999999995</v>
      </c>
      <c r="J7" s="1"/>
      <c r="K7" s="1">
        <f>SUM(K157)</f>
        <v>233596.31000000003</v>
      </c>
      <c r="M7" s="10">
        <f>SUM(C7:K7)</f>
        <v>1093157.1950000001</v>
      </c>
    </row>
    <row r="8" spans="1:13" s="35" customFormat="1" x14ac:dyDescent="0.25">
      <c r="A8" s="121"/>
      <c r="C8" s="82">
        <f>SUM(C5+C6-C7)</f>
        <v>23112.695000000007</v>
      </c>
      <c r="E8" s="82">
        <f>SUM(E5+E6-E7)</f>
        <v>35566.390000000014</v>
      </c>
      <c r="G8" s="82">
        <f>SUM(G5+G6-G7)</f>
        <v>23537.200000000012</v>
      </c>
      <c r="I8" s="82">
        <f>SUM(I5+I6-I7)</f>
        <v>-2258.8699999999371</v>
      </c>
      <c r="K8" s="82">
        <f>SUM(K5+K6-K7)</f>
        <v>-24070.389999999985</v>
      </c>
      <c r="M8" s="82">
        <f>SUM(M5+M6-M7)</f>
        <v>-33356.034999999916</v>
      </c>
    </row>
    <row r="9" spans="1:13" s="35" customFormat="1" ht="21" x14ac:dyDescent="0.4">
      <c r="A9" s="124" t="s">
        <v>206</v>
      </c>
      <c r="C9" s="68"/>
      <c r="E9" s="68"/>
      <c r="G9" s="68"/>
      <c r="I9" s="68"/>
      <c r="K9" s="73"/>
      <c r="M9" s="71"/>
    </row>
    <row r="10" spans="1:13" s="35" customFormat="1" ht="16.5" x14ac:dyDescent="0.3">
      <c r="A10" s="125" t="s">
        <v>207</v>
      </c>
      <c r="C10" s="73">
        <f>46028.39</f>
        <v>46028.39</v>
      </c>
      <c r="D10" s="85"/>
      <c r="E10" s="73">
        <f>2495.13+41577.04+2495.13+17407.85</f>
        <v>63975.149999999994</v>
      </c>
      <c r="F10" s="85"/>
      <c r="G10" s="73">
        <f>2495.13+17407.85+46093.63</f>
        <v>65996.61</v>
      </c>
      <c r="H10" s="85"/>
      <c r="I10" s="73">
        <f>2495.13+17407.85+46120.82+6174.81</f>
        <v>72198.61</v>
      </c>
      <c r="J10" s="85"/>
      <c r="K10" s="73">
        <f>6174.81+2495.13+17407.85+39926.98</f>
        <v>66004.77</v>
      </c>
      <c r="L10" s="85"/>
      <c r="M10" s="86">
        <f>SUM(C10+E10+G10+I10+K10)</f>
        <v>314203.53000000003</v>
      </c>
    </row>
    <row r="11" spans="1:13" s="35" customFormat="1" ht="16.5" x14ac:dyDescent="0.3">
      <c r="A11" s="125" t="s">
        <v>208</v>
      </c>
      <c r="C11" s="73">
        <v>0</v>
      </c>
      <c r="D11" s="85"/>
      <c r="E11" s="73">
        <f>70250</f>
        <v>70250</v>
      </c>
      <c r="F11" s="85"/>
      <c r="G11" s="73">
        <f>70250</f>
        <v>70250</v>
      </c>
      <c r="H11" s="85"/>
      <c r="I11" s="73">
        <v>70250</v>
      </c>
      <c r="J11" s="85"/>
      <c r="K11" s="73">
        <f>70250</f>
        <v>70250</v>
      </c>
      <c r="L11" s="85"/>
      <c r="M11" s="86">
        <f t="shared" ref="M11:M15" si="0">SUM(C11+E11+G11+I11+K11)</f>
        <v>281000</v>
      </c>
    </row>
    <row r="12" spans="1:13" s="35" customFormat="1" ht="16.5" x14ac:dyDescent="0.3">
      <c r="A12" s="125" t="s">
        <v>209</v>
      </c>
      <c r="C12" s="73">
        <f>21708.86</f>
        <v>21708.86</v>
      </c>
      <c r="D12" s="85"/>
      <c r="E12" s="73">
        <f>48653.76</f>
        <v>48653.760000000002</v>
      </c>
      <c r="F12" s="85"/>
      <c r="G12" s="73">
        <f>25000+9117.2</f>
        <v>34117.199999999997</v>
      </c>
      <c r="H12" s="85"/>
      <c r="I12" s="73">
        <f>10552.02+25000</f>
        <v>35552.020000000004</v>
      </c>
      <c r="J12" s="85"/>
      <c r="K12" s="73">
        <f>25000+9058.27+25000</f>
        <v>59058.270000000004</v>
      </c>
      <c r="L12" s="85"/>
      <c r="M12" s="86">
        <f t="shared" si="0"/>
        <v>199090.11</v>
      </c>
    </row>
    <row r="13" spans="1:13" s="35" customFormat="1" ht="16.5" x14ac:dyDescent="0.3">
      <c r="A13" s="125" t="s">
        <v>232</v>
      </c>
      <c r="C13" s="73">
        <v>0</v>
      </c>
      <c r="D13" s="85"/>
      <c r="E13" s="73">
        <f>9500+85500</f>
        <v>95000</v>
      </c>
      <c r="F13" s="85"/>
      <c r="G13" s="73">
        <v>0</v>
      </c>
      <c r="H13" s="85"/>
      <c r="I13" s="73">
        <v>0</v>
      </c>
      <c r="J13" s="85"/>
      <c r="K13" s="73">
        <v>0</v>
      </c>
      <c r="L13" s="85"/>
      <c r="M13" s="86">
        <f t="shared" si="0"/>
        <v>95000</v>
      </c>
    </row>
    <row r="14" spans="1:13" s="35" customFormat="1" ht="16.5" x14ac:dyDescent="0.3">
      <c r="A14" s="125" t="s">
        <v>210</v>
      </c>
      <c r="C14" s="73">
        <f>150+1520+210+150+180+190+570+150+190+150+459+190+270+150+820+360+110+250+50+350+150+750</f>
        <v>7369</v>
      </c>
      <c r="D14" s="85"/>
      <c r="E14" s="73">
        <f>2940+150+150+372.4+195+290+60+50+50+800+194+150+1800+1000+1050+980</f>
        <v>10231.4</v>
      </c>
      <c r="F14" s="85"/>
      <c r="G14" s="73">
        <f>1820+130+115+63+150+140+1520+1000+300+50+150+850+50+150+1000+115+1500+350+850</f>
        <v>10303</v>
      </c>
      <c r="H14" s="85"/>
      <c r="I14" s="73">
        <f>1000+120+110+100+210+80+300+2140+450+213+80+450+150+1500</f>
        <v>6903</v>
      </c>
      <c r="J14" s="85"/>
      <c r="K14" s="73">
        <v>6802.2</v>
      </c>
      <c r="L14" s="85"/>
      <c r="M14" s="86">
        <f t="shared" si="0"/>
        <v>41608.6</v>
      </c>
    </row>
    <row r="15" spans="1:13" s="35" customFormat="1" ht="16.5" x14ac:dyDescent="0.3">
      <c r="A15" s="125" t="s">
        <v>235</v>
      </c>
      <c r="C15" s="73">
        <f>2466.01+9342.01</f>
        <v>11808.02</v>
      </c>
      <c r="D15" s="85"/>
      <c r="E15" s="73">
        <f>5310+3783.06</f>
        <v>9093.06</v>
      </c>
      <c r="F15" s="85"/>
      <c r="G15" s="73">
        <v>14141.91</v>
      </c>
      <c r="H15" s="85"/>
      <c r="I15" s="73">
        <v>4230</v>
      </c>
      <c r="J15" s="85"/>
      <c r="K15" s="73">
        <v>9669.5499999999993</v>
      </c>
      <c r="L15" s="85"/>
      <c r="M15" s="86">
        <f t="shared" si="0"/>
        <v>48942.540000000008</v>
      </c>
    </row>
    <row r="16" spans="1:13" s="35" customFormat="1" ht="21" x14ac:dyDescent="0.4">
      <c r="A16" s="126"/>
      <c r="C16" s="82">
        <f>SUM(C10:C15)</f>
        <v>86914.27</v>
      </c>
      <c r="E16" s="82">
        <f>SUM(E10:E15)</f>
        <v>297203.37000000005</v>
      </c>
      <c r="G16" s="82">
        <f>SUM(G10:G15)</f>
        <v>194808.72</v>
      </c>
      <c r="I16" s="82">
        <f>SUM(I10:I15)</f>
        <v>189133.63</v>
      </c>
      <c r="K16" s="82">
        <f>SUM(K10:K15)</f>
        <v>211784.79000000004</v>
      </c>
      <c r="M16" s="87">
        <f>SUM(C16+E16+G16+I16+K16)</f>
        <v>979844.78000000014</v>
      </c>
    </row>
    <row r="17" spans="1:13" s="8" customFormat="1" ht="21" x14ac:dyDescent="0.4">
      <c r="A17" s="124" t="s">
        <v>60</v>
      </c>
      <c r="C17" s="68"/>
      <c r="D17" s="35"/>
      <c r="E17" s="68"/>
      <c r="F17" s="35"/>
      <c r="G17" s="68"/>
      <c r="H17" s="35"/>
      <c r="I17" s="68"/>
      <c r="J17" s="35"/>
      <c r="K17" s="73"/>
      <c r="M17" s="10"/>
    </row>
    <row r="18" spans="1:13" ht="15.75" x14ac:dyDescent="0.3">
      <c r="A18" s="127" t="s">
        <v>111</v>
      </c>
      <c r="B18" s="32"/>
      <c r="C18" s="6"/>
      <c r="D18" s="31"/>
      <c r="E18" s="6"/>
      <c r="F18" s="31"/>
      <c r="G18" s="6"/>
      <c r="H18" s="31"/>
      <c r="I18" s="6"/>
      <c r="J18" s="31"/>
      <c r="K18" s="74"/>
      <c r="L18" s="31"/>
      <c r="M18" s="76"/>
    </row>
    <row r="19" spans="1:13" ht="15.75" x14ac:dyDescent="0.3">
      <c r="A19" s="128" t="s">
        <v>62</v>
      </c>
      <c r="B19" s="9"/>
      <c r="C19" s="1">
        <f>750+1212.9+1400+1212.9+1212.9+1212.9+724+750+724+1212.9+1300+1141.07+2150+2205.54+300+850+850+1332+4000+850+3045.5+1100+724+724+750+2470.2+724+1141.07+2100+900+1141.07+900+3045.5+1200+850+550</f>
        <v>46756.45</v>
      </c>
      <c r="E19" s="34">
        <f>1400+788+1200+850+788+1141.07+900+788+2470.2+550+1212.9+788+1141.07+788+3045.5+900+1100+2100+1212.9+1212.9+1212.9+1212.9+1212.9+788+788+788+1212.9+1300+1141.07+2205.54+850+1212.9+850+1332+4000+850+3045.5+640.9+494.52</f>
        <v>49514.570000000007</v>
      </c>
      <c r="G19" s="34">
        <f>1212.9+1212.9+788+788+788+1300+80.86+1141.07+2150+788.33+56.67+1212.9+850+1332+4000+1212.9+1141.07+2270+1400+1479+850+1100+1141.07+900+788+788+3045.5+788+2470.2+788+1200+550+1141.07</f>
        <v>40754.439999999995</v>
      </c>
      <c r="I19" s="34">
        <f>788+1212.9+1212.9+1141.07+1212.9+1212.9+850+788+788+900+1141.07+2078.33+788+1212.9+3045.5+793.33+1200+1212.9+850+1332+788+390+850+2842.47+788+2205.54+1400+1479+1132.04+366.67+1141.07+56.67</f>
        <v>37200.160000000003</v>
      </c>
      <c r="K19" s="60">
        <f>1212.9+788+1212.9+788+1212.9+2150+733.33+850+1212.9+850+793.33+1332+3045.5+203.03+1212.9+1141.07+1479+1141.07+850+1141.07+900+788+1200+2270+788+1837.95+900+788+1141.07+4000+1333.33+1300+433.33+2470.2+550+3045.5+1212.8</f>
        <v>48308.080000000009</v>
      </c>
      <c r="M19" s="11">
        <f>SUM(C19+E19+G19+I19+K19)</f>
        <v>222533.7</v>
      </c>
    </row>
    <row r="20" spans="1:13" ht="15.75" x14ac:dyDescent="0.3">
      <c r="A20" s="128" t="s">
        <v>166</v>
      </c>
      <c r="B20" s="9"/>
      <c r="C20" s="1">
        <f>700</f>
        <v>700</v>
      </c>
      <c r="E20" s="34">
        <f>1000+13.23</f>
        <v>1013.23</v>
      </c>
      <c r="G20" s="34">
        <f>1000+13.38+788</f>
        <v>1801.38</v>
      </c>
      <c r="I20" s="34">
        <f>1000+13.38</f>
        <v>1013.38</v>
      </c>
      <c r="K20" s="60">
        <f>266.67</f>
        <v>266.67</v>
      </c>
      <c r="M20" s="11">
        <f t="shared" ref="M20:M54" si="1">SUM(C20+E20+G20+I20+K20)</f>
        <v>4794.66</v>
      </c>
    </row>
    <row r="21" spans="1:13" ht="15.75" x14ac:dyDescent="0.3">
      <c r="A21" s="128" t="s">
        <v>173</v>
      </c>
      <c r="B21" s="9"/>
      <c r="C21" s="1">
        <f>24.66+49.32+24.66</f>
        <v>98.64</v>
      </c>
      <c r="E21" s="34">
        <f>26.2+26.2+52.4</f>
        <v>104.8</v>
      </c>
      <c r="G21" s="34">
        <f>52.4+26.2+26.2</f>
        <v>104.8</v>
      </c>
      <c r="I21" s="34">
        <f>26.2</f>
        <v>26.2</v>
      </c>
      <c r="K21" s="60">
        <f>26.2+26.2</f>
        <v>52.4</v>
      </c>
      <c r="M21" s="11">
        <f t="shared" si="1"/>
        <v>386.84</v>
      </c>
    </row>
    <row r="22" spans="1:13" ht="15.75" x14ac:dyDescent="0.3">
      <c r="A22" s="128" t="s">
        <v>167</v>
      </c>
      <c r="B22" s="9"/>
      <c r="C22" s="1">
        <f>9.16</f>
        <v>9.16</v>
      </c>
      <c r="E22" s="34">
        <v>0</v>
      </c>
      <c r="G22" s="34">
        <v>0</v>
      </c>
      <c r="I22" s="34">
        <v>0</v>
      </c>
      <c r="K22" s="60">
        <f>3.57</f>
        <v>3.57</v>
      </c>
      <c r="M22" s="11">
        <f t="shared" si="1"/>
        <v>12.73</v>
      </c>
    </row>
    <row r="23" spans="1:13" ht="15.75" x14ac:dyDescent="0.3">
      <c r="A23" s="128" t="s">
        <v>159</v>
      </c>
      <c r="B23" s="9"/>
      <c r="C23" s="1">
        <f>22.27+4.25+10.34+0.81+6.32+21.71+24.86+4.54+1.19+31.93+4.46+1.02+31.66+3.36+9.07+38.34+14.28+19.76</f>
        <v>250.17000000000002</v>
      </c>
      <c r="E23" s="34">
        <f>2.14+25.12+15.97+25.9+5.13+0.36+9.45+7.93+0.6+2.22+10.41+0.81+3.16+11.2+1.6+1.99+0.81+10+33.06+2.15</f>
        <v>170.01</v>
      </c>
      <c r="G23" s="34">
        <f>1.69+15.9+0.41+1.2+1.24+5.83+10.37+1.4+6.17+230+8.84+4.5+6.91+3.58+4.05+0.57</f>
        <v>302.65999999999997</v>
      </c>
      <c r="I23" s="34">
        <f>2.32+2.19+4.58+6.93+0.99+1.51+2.85+6.65+3.32+30.2+0.65+0.72+4.12+0.62+0.65+2.07+14.83</f>
        <v>85.2</v>
      </c>
      <c r="K23" s="60">
        <f>2.42+9.02+24.76+3.02+27.61+43.33+1.94+23.01+23.77+39.06+1.43+7.6+43.85+23.38+66.6+0.76+7.31</f>
        <v>348.87000000000006</v>
      </c>
      <c r="M23" s="11">
        <f t="shared" si="1"/>
        <v>1156.9100000000001</v>
      </c>
    </row>
    <row r="24" spans="1:13" ht="15.75" x14ac:dyDescent="0.3">
      <c r="A24" s="128" t="s">
        <v>164</v>
      </c>
      <c r="B24" s="9"/>
      <c r="C24" s="1">
        <f>80</f>
        <v>80</v>
      </c>
      <c r="E24" s="34">
        <f>80</f>
        <v>80</v>
      </c>
      <c r="G24" s="34">
        <f>80</f>
        <v>80</v>
      </c>
      <c r="I24" s="34">
        <f>80</f>
        <v>80</v>
      </c>
      <c r="K24" s="60">
        <f>80</f>
        <v>80</v>
      </c>
      <c r="M24" s="11">
        <f t="shared" si="1"/>
        <v>400</v>
      </c>
    </row>
    <row r="25" spans="1:13" ht="15.75" x14ac:dyDescent="0.3">
      <c r="A25" s="128" t="s">
        <v>157</v>
      </c>
      <c r="B25" s="9"/>
      <c r="C25" s="1">
        <f>17.88+53.76+14.52+11.85+121.82+23.61+9.52+3.02+23.2+102.76+35.54+40.39+17.47+44.67+4.07</f>
        <v>524.08000000000004</v>
      </c>
      <c r="E25" s="34">
        <f>11.12+12.72+18.57+17.51+1.88+14.76+41.24+3.62+11.54+4.77+4.23+16.41+35.52+8.31+10.33+4.21+52.02+21.26+7.89</f>
        <v>297.91000000000003</v>
      </c>
      <c r="G25" s="34">
        <f>3.26+2.45+7.21+7.46+30.32+3.26+31.76+36.31+3.42+53.04+27+41.48+16.41+13.42</f>
        <v>276.8</v>
      </c>
      <c r="I25" s="34">
        <f>12.08+7.85+20.6+34.58+22.61+26.2+9.04+5.16+17.24+96.37+25.79+3.38+4.52+16.91+3.21+3.38+10.77</f>
        <v>319.69</v>
      </c>
      <c r="K25" s="60">
        <f>9.66+3.67+110.45+3.26+5.7+26.98+20.63+3.03+29.23</f>
        <v>212.60999999999999</v>
      </c>
      <c r="M25" s="11">
        <f t="shared" si="1"/>
        <v>1631.09</v>
      </c>
    </row>
    <row r="26" spans="1:13" ht="15.75" x14ac:dyDescent="0.3">
      <c r="A26" s="128" t="s">
        <v>158</v>
      </c>
      <c r="B26" s="9"/>
      <c r="C26" s="1">
        <f>4.22+4.22+83.33+163+85.01+47.15+119.96+89.07</f>
        <v>595.95999999999992</v>
      </c>
      <c r="E26" s="34">
        <f>91.33+53.42+134.66+9.18+49.35+22.74+150.63</f>
        <v>511.31</v>
      </c>
      <c r="G26" s="34">
        <f>10.15+92.11+5.15+5.23+13.77+10.87+5.05</f>
        <v>142.33000000000001</v>
      </c>
      <c r="I26" s="34">
        <f>5.31+14.84+13.42+4.51+117.51</f>
        <v>155.59</v>
      </c>
      <c r="K26" s="60">
        <f>32.41+99.03+12.08+173.33+4.51+92.06+87.17+156.24+12.55+147.69+93.53+266.4</f>
        <v>1177</v>
      </c>
      <c r="M26" s="11">
        <f t="shared" si="1"/>
        <v>2582.1899999999996</v>
      </c>
    </row>
    <row r="27" spans="1:13" ht="15.75" x14ac:dyDescent="0.3">
      <c r="A27" s="128" t="s">
        <v>172</v>
      </c>
      <c r="B27" s="9"/>
      <c r="C27" s="1">
        <f>18.35+17.69+7.45+38.73+73.99</f>
        <v>156.20999999999998</v>
      </c>
      <c r="E27" s="34">
        <f>26.59+11.06+34.39</f>
        <v>72.039999999999992</v>
      </c>
      <c r="G27" s="34">
        <v>0</v>
      </c>
      <c r="I27" s="34">
        <f>13.75</f>
        <v>13.75</v>
      </c>
      <c r="K27" s="60">
        <f>7.08</f>
        <v>7.08</v>
      </c>
      <c r="M27" s="11">
        <f t="shared" si="1"/>
        <v>249.07999999999998</v>
      </c>
    </row>
    <row r="28" spans="1:13" ht="15.75" x14ac:dyDescent="0.3">
      <c r="A28" s="128" t="s">
        <v>160</v>
      </c>
      <c r="B28" s="9"/>
      <c r="C28" s="1">
        <f>0.55+0.71+0.37+0.66+4.04+0.02+1.55+0.75+1.56+0.33+0.35+0.57+9.52+0.035+0.73+8.22+0.97+0.97+1.46+0.13+0.82+0.81+0.77+0.08+0.74+0.95+1.46+0.81+0.21+0.3+0.04+0.02+0.92+0.69+0.89+0.67+0.44+0.03+0.1+0.8+0.44+0.11</f>
        <v>45.595000000000006</v>
      </c>
      <c r="E28" s="34">
        <f>0.45+0.43+0.22+0.48+0.23+0.16+0.84+0.14+0.71+0.41+0.84+0.27+0.37+0.84+0.51+0.15+0.36+0.46+0.46+0.24+0.89+0.64+0.59+0.38+0.11+0.57+0.72+0.8+0.45+0.38+0.82+0.1+0.82+0.92+0.59+0.31+0.26+0.9+0.9</f>
        <v>19.720000000000002</v>
      </c>
      <c r="G28" s="34">
        <f>0.07+0.18+0.45+0.75+0.68+0.22+0.16+0.75+0.76+0.04+0.11+0.92+0.94+0.76+0.08+0.62+0.47+0.25+0.75+0.67+0.73+0.35+0.5+0.89+0.83+0.94+0.59+0.65+0.94+0.02+0.36+0.22+0.24</f>
        <v>16.889999999999997</v>
      </c>
      <c r="I28" s="34">
        <f>0.76+0.36+0.32+0.12+0.76+0.64+0.13+0.58+0.01+0.66+0.45+0.77+0.31+0.5+0.68+0.46+0.35+0.65+0.48+0.76+0.57+0.13+0.31+0.58+0.03+0.67+0.22+0.95+0.48+0.19+0.42+0.67+0.83+0.35</f>
        <v>16.150000000000002</v>
      </c>
      <c r="K28" s="60">
        <f>0.26+0.37+0.73+0.09+0.13+0.45+0.87+0.17+0.27+0.73+0.05+0.79+0.46+0.93+0.49+0.59+0.11+0.08+0.08+0.51+0.88+0.22+0.67+0.91+0.19+0.76+0.53+0.59+0.64+0.23+0.4+0.73+0.21+0.83+0.19</f>
        <v>16.140000000000004</v>
      </c>
      <c r="M28" s="11">
        <f t="shared" si="1"/>
        <v>114.49500000000002</v>
      </c>
    </row>
    <row r="29" spans="1:13" ht="15.75" x14ac:dyDescent="0.3">
      <c r="A29" s="128" t="s">
        <v>155</v>
      </c>
      <c r="B29" s="9"/>
      <c r="C29" s="1">
        <f>72.77+72.77+72.77+72.77+68.46+182.73+182.73</f>
        <v>725</v>
      </c>
      <c r="E29" s="34">
        <f>68.46+148.21+72.77+182.73+72.77+72.77+72.77+68.46+132.33+72.77+182.73</f>
        <v>1146.77</v>
      </c>
      <c r="G29" s="34">
        <f>72.77+64.46+72.77+79.92+72.77+68.46+68.46+68.46+182.73+148.21</f>
        <v>899.01</v>
      </c>
      <c r="I29" s="34">
        <f>72.77+79.92+182.73+68.46+72.77+182.73+72.77+68.46+72.77</f>
        <v>873.37999999999988</v>
      </c>
      <c r="K29" s="60">
        <f>72.77+72.77+72.77+182.73+68.46+68.46+68.46+148.21+72.77+182.73</f>
        <v>1010.13</v>
      </c>
      <c r="M29" s="11">
        <f t="shared" si="1"/>
        <v>4654.29</v>
      </c>
    </row>
    <row r="30" spans="1:13" ht="15.75" x14ac:dyDescent="0.3">
      <c r="A30" s="128" t="s">
        <v>156</v>
      </c>
      <c r="B30" s="9"/>
      <c r="C30" s="1">
        <f>144.26+144.12+118.35+144.8+144.46+144.74+144.8+144.68+139.95+144.8+144.8+144.8+136.66+144.06+43.44+101.36+142.01+144.01+144+144.34+144.8+131.88+144.6+140.23+142.97+144.8+136.9+144.8+144.8+144.28+144.56+143.92+144.8+97.33+140.88</f>
        <v>4795.9900000000016</v>
      </c>
      <c r="E30" s="34">
        <f>137.46+136.72+144.8+144.8+137.74+236.4+135.07+144.8+236.4+231.37+143.31+235.98+143.81+236.4+144.8+141.71+236.4+228.85+143.23+236.4+228.52+236.4+144.39+144.8+139.92+226.39+143.99+235.15+234.3+143.05+235.28+131.16+218.11+144.8+143.54+236.4+144.8+57.92</f>
        <v>6765.37</v>
      </c>
      <c r="G30" s="34">
        <f>157.6+156.72+157.6+235.94+197.35+157.58+152.35+157.51+15.76+156.04+235.64+139.01+57.19+10.51+236.07+122.26+233.51+235.55+235.77+236.4+135.58+590.95+144.85+152.14+236.18+148.77+157.58+152.21+236.4+156.98+236.4+151.19+157.6</f>
        <v>5943.1900000000005</v>
      </c>
      <c r="I30" s="34">
        <f>157.6+236.4+229.83+590.69+220.09+50.5+157.6+235.91-157.06+68.25+155.78+10.51+220.64+157.6+236.1+145.81+157.42+152.24+157.6+236.4+232.63+234.82+236.03+157.6+145.39+236.4+220.47+146.62+141.55+235.78+157.57</f>
        <v>5564.77</v>
      </c>
      <c r="K30" s="60">
        <f>236.4+157.42+236.4+156.11+234.59+148.19+115.57+42.03+156.35+236.07+148.23+145.89+236.4+236.4+15.76+236.4+236.4+591.6+157.6+236.01+157.29+151.8+157.6+157.6+157.39+197+149.31+156.73+236.4+157.6+52.53+156.69+52.34+236.4+236.4+235.18</f>
        <v>6608.0800000000008</v>
      </c>
      <c r="M30" s="11">
        <f t="shared" si="1"/>
        <v>29677.400000000005</v>
      </c>
    </row>
    <row r="31" spans="1:13" ht="15.75" x14ac:dyDescent="0.3">
      <c r="A31" s="128" t="s">
        <v>199</v>
      </c>
      <c r="B31" s="9"/>
      <c r="C31" s="1">
        <v>0</v>
      </c>
      <c r="E31" s="34">
        <f>177.47</f>
        <v>177.47</v>
      </c>
      <c r="G31" s="34">
        <v>0</v>
      </c>
      <c r="I31" s="34">
        <v>0</v>
      </c>
      <c r="K31" s="60">
        <v>0</v>
      </c>
      <c r="M31" s="11">
        <f t="shared" si="1"/>
        <v>177.47</v>
      </c>
    </row>
    <row r="32" spans="1:13" ht="15.75" x14ac:dyDescent="0.3">
      <c r="A32" s="128" t="s">
        <v>162</v>
      </c>
      <c r="B32" s="9"/>
      <c r="C32" s="1">
        <f>80.77+91.2+29.89+3.54+2.27+18.21+118.39+83.48+97.83+135.36</f>
        <v>660.94</v>
      </c>
      <c r="E32" s="34">
        <f>2.58+97.78+101.12+56.7+20.85+135.36+91.35+63.25+134.09+132.77+33.87+130.59</f>
        <v>1000.3100000000001</v>
      </c>
      <c r="G32" s="34">
        <f>120.48+23.89+132.48+121.2+105.3+60.03+135.36</f>
        <v>698.74</v>
      </c>
      <c r="I32" s="34">
        <f>15.65+132.57+70+96.62+65.2+135.36+102.29+126.6+130.76+26.71</f>
        <v>901.7600000000001</v>
      </c>
      <c r="K32" s="60">
        <f>122.37+112.03+92.01+107.7+0.86+105.7+81.68+124.03+135.36</f>
        <v>881.74000000000012</v>
      </c>
      <c r="M32" s="11">
        <f t="shared" si="1"/>
        <v>4143.49</v>
      </c>
    </row>
    <row r="33" spans="1:13" ht="15.75" x14ac:dyDescent="0.3">
      <c r="A33" s="128" t="s">
        <v>165</v>
      </c>
      <c r="B33" s="9"/>
      <c r="C33" s="1">
        <f>800+400+400+300+1000+300+600</f>
        <v>3800</v>
      </c>
      <c r="E33" s="34">
        <f>50+900+900+400+300+100+1000+300</f>
        <v>3950</v>
      </c>
      <c r="G33" s="34">
        <f>1000+1000+400+146.63+900+400</f>
        <v>3846.63</v>
      </c>
      <c r="I33" s="34">
        <f>900+200+400+222+300+500+500+100+400+800</f>
        <v>4322</v>
      </c>
      <c r="K33" s="60">
        <f>500+300+300+1000+1000+1000+1000</f>
        <v>5100</v>
      </c>
      <c r="M33" s="11">
        <f t="shared" si="1"/>
        <v>21018.63</v>
      </c>
    </row>
    <row r="34" spans="1:13" ht="15.75" x14ac:dyDescent="0.3">
      <c r="A34" s="128" t="s">
        <v>211</v>
      </c>
      <c r="B34" s="9"/>
      <c r="C34" s="1">
        <f>-15.76-47.47-50.58-365.09-115.27-87.5-15.76-133.34</f>
        <v>-830.77</v>
      </c>
      <c r="E34" s="34">
        <f>-119.51-145.57-13.84-21.88-21.9-68.41-358.32-127.5</f>
        <v>-876.92999999999984</v>
      </c>
      <c r="G34" s="34">
        <f>-361.2-42.08-29.56-33.22-13.51-145.57-119.51</f>
        <v>-744.64999999999986</v>
      </c>
      <c r="I34" s="34">
        <f>-66.48-98.23-56.59-38.38</f>
        <v>-259.68</v>
      </c>
      <c r="K34" s="60">
        <f>-44.63-107.73-56.18-19.24-361.2-99.74-145.57-125.8</f>
        <v>-960.08999999999992</v>
      </c>
      <c r="M34" s="11">
        <f t="shared" si="1"/>
        <v>-3672.119999999999</v>
      </c>
    </row>
    <row r="35" spans="1:13" ht="15.75" x14ac:dyDescent="0.3">
      <c r="A35" s="128" t="s">
        <v>212</v>
      </c>
      <c r="B35" s="9"/>
      <c r="C35" s="1">
        <f>-80.22-137.8-0.08-119.4-13.52-128.74-0.14-137.11-0.14-124.82-69.5-0.33-74.66-77.94-0.76-135.94-0.74-246.92-121.88-299.18-304.31-93.18-0.47-132.62-79.43-0.52-0.16-130.45-482.92-118.73-371.03-167.06-69.4-74.57-89.69-348.15-71.66-132.54-246.92-89.96-104.36-119.93-385.92-72.31-77.83</f>
        <v>-5533.94</v>
      </c>
      <c r="E35" s="34">
        <f>-133.17-82.92-107.58-79.58-79.11-130.13-98.63-74.62-374.52-146.17-78.03-128.85-80.47-395.99-90.89-195.06-257-138.89-140.72-136.98-138.03-133.48-74.41-79.78-72.1-132.56-257.03-131.24-332.42-92.64-103.41-158.23-72.49-135.81-513.01-134.19-381.1-119.83</f>
        <v>-6011.07</v>
      </c>
      <c r="G35" s="34">
        <f>-93.67-75.22-148.64-107.6-75.63-73.12-75.83-14.12-269.67-130.51-290.3-83.33-6.74+149.61-62.53-150.5-513.01-72.57-374.52-75.66-395.99-73.05-75.63-133.8-132.27-194.61-76.6-57.76-126.16-275.7-140.72-147.42</f>
        <v>-4373.2700000000004</v>
      </c>
      <c r="I35" s="34">
        <f>-93.67-71.05-140.04-138.36-374.93-128.63-106.25-80.6-151.92-75.88-60.02-104.52-45.37-357.04-75.64-314.21-133.4-148.86-140.66-284.26-85.35-134.42-395.99-156.23-108.6-148.28-141.04-147.03-132.84-80.6-74.1-75.56</f>
        <v>-4705.3500000000013</v>
      </c>
      <c r="K35" s="60">
        <f>-138.07-79.16-147.99-84.83-137.99-308.87-92.89-136.46-147.76-85.02-107.49-141.15-381.1-17.5-138.71-139.82-374.76-81.17-134.16-90.97-90.47-108.6-267.03-84.89-183.14-129.65-75.53-130.13-513.01-262.44-269.41-29.4-133.56-374.52-395.99-150.76</f>
        <v>-6164.4</v>
      </c>
      <c r="M35" s="11">
        <f t="shared" si="1"/>
        <v>-26788.03</v>
      </c>
    </row>
    <row r="36" spans="1:13" ht="15.75" x14ac:dyDescent="0.3">
      <c r="A36" s="128" t="s">
        <v>63</v>
      </c>
      <c r="B36" s="9"/>
      <c r="C36" s="1">
        <f>-368.32-366.76-258.54-668.43-504.73-311.87-1000.25-153.69</f>
        <v>-3632.5899999999997</v>
      </c>
      <c r="E36" s="34">
        <f>-362.15-362.15-368.32-366.76-258.54-504.73-1000.25</f>
        <v>-3222.8999999999996</v>
      </c>
      <c r="G36" s="34">
        <f>-1000.25-366.76-258.54-668.43-635.01-362.15-153.69</f>
        <v>-3444.83</v>
      </c>
      <c r="I36" s="34">
        <f>-368.32-362.15-153.69-504.73-701.85</f>
        <v>-2090.7400000000002</v>
      </c>
      <c r="K36" s="60">
        <f>-668.43-311.87-362.15-1000.25-1000.25</f>
        <v>-3342.95</v>
      </c>
      <c r="M36" s="11">
        <f t="shared" si="1"/>
        <v>-15734.009999999998</v>
      </c>
    </row>
    <row r="37" spans="1:13" ht="15.75" x14ac:dyDescent="0.3">
      <c r="A37" s="128" t="s">
        <v>118</v>
      </c>
      <c r="B37" s="9"/>
      <c r="C37" s="1">
        <f>-499.78-253.43-125.99</f>
        <v>-879.2</v>
      </c>
      <c r="E37" s="34">
        <f>-1.99-403.3</f>
        <v>-405.29</v>
      </c>
      <c r="G37" s="34">
        <f>-51.98-1.99</f>
        <v>-53.97</v>
      </c>
      <c r="I37" s="34">
        <f>-321.23-1.99-1.99-1.99-274.84</f>
        <v>-602.04</v>
      </c>
      <c r="K37" s="60">
        <f>-368.32-190.1-580.16-457.53-479.35</f>
        <v>-2075.46</v>
      </c>
      <c r="M37" s="11">
        <f t="shared" si="1"/>
        <v>-4015.96</v>
      </c>
    </row>
    <row r="38" spans="1:13" ht="15.75" x14ac:dyDescent="0.3">
      <c r="A38" s="128" t="s">
        <v>87</v>
      </c>
      <c r="B38" s="9"/>
      <c r="C38" s="1">
        <f>-24.26-24.26-24.26-22.82-44.11-26.64-60.91-22.82</f>
        <v>-250.07999999999996</v>
      </c>
      <c r="E38" s="34">
        <f>-22.82-24.26-24.26-24.16-24.26-22.82-44.11-24.26-26.64-60.91</f>
        <v>-298.5</v>
      </c>
      <c r="G38" s="34">
        <f>-24.26-24.26-22.82-24.26-26.64-24.26-22.82</f>
        <v>-169.32</v>
      </c>
      <c r="I38" s="34">
        <f>-49.4-24.26-24.26-24.26-22.82-26.64-60.91-44.11-22.82</f>
        <v>-299.47999999999996</v>
      </c>
      <c r="K38" s="60">
        <f>-24.26-24.26-24.26-24.26-26.64-60.91-56.85-24.26-22.82-22.82-22.82-22.82-49.4-24.26-22.82-24.26</f>
        <v>-477.71999999999991</v>
      </c>
      <c r="M38" s="11">
        <f t="shared" si="1"/>
        <v>-1495.1</v>
      </c>
    </row>
    <row r="39" spans="1:13" ht="15.75" x14ac:dyDescent="0.3">
      <c r="A39" s="128" t="s">
        <v>171</v>
      </c>
      <c r="B39" s="9"/>
      <c r="C39" s="1">
        <v>0</v>
      </c>
      <c r="E39" s="34">
        <v>0</v>
      </c>
      <c r="G39" s="34">
        <v>0</v>
      </c>
      <c r="I39" s="34">
        <f>-82.34-26.27-40.43-36.67-40.43-49.3-28.33-44.4-26.27-30-28.33-101.52-26.27-73.52-46.67-30-38.04-71.67-26.67-40.43</f>
        <v>-887.55999999999972</v>
      </c>
      <c r="K39" s="60">
        <f>-38.04-133.33-43.33-101.52-28.33-40-40.43-38.04-26.27-26.27-28.33-40.43-40.43</f>
        <v>-624.74999999999989</v>
      </c>
      <c r="M39" s="11">
        <f t="shared" si="1"/>
        <v>-1512.3099999999995</v>
      </c>
    </row>
    <row r="40" spans="1:13" ht="15.75" x14ac:dyDescent="0.3">
      <c r="A40" s="128" t="s">
        <v>163</v>
      </c>
      <c r="B40" s="9"/>
      <c r="C40" s="1">
        <f>-0.17-0.62-0.75-0.2-0.48-0.55-0.52-0.29-0.31-0.76-0.28-0.19-0.31-0.25-0.4-0.38-0.17-1.18-0.27-0.43-0.05-0.21-0.77-0.01-0.92-0.54-0.66-0.21-0.35-0.16-0.69-0.79-0.4-0.7-0.04-0.44-0.99-0.95-0.51-0.1-0.52-0.35-0.58-0.3-0.49-0.23-0.48-0.6-0.63-0.52-0.4-0.93-0.64-0.31-0.04-0.75-0.38-0.77-0.72-0.96-0.65-0.36-0.62-0.19-0.81-0.34-0.94-0.27-0.75-0.24-0.64-0.91-0.7-0.06-0.61</f>
        <v>-36.69</v>
      </c>
      <c r="E40" s="34">
        <f>0.02-0.04-0.44-0.7-0.37-0.66-0.03-0.44-0.02-0.92-0.71-0.89-0.69-0.8-0.1-0.3-0.67-0.71-0.65-0.46-0.75-0.46-0.33-0.35-0.57-0.35-0.73-0.97-0.37-0.81-0.77-0.08-0.74-1.46-0.52-0.81-0.21-0.38-0.9-0.6-0.05</f>
        <v>-21.79</v>
      </c>
      <c r="G40" s="34">
        <f>-0.38-0.27-0.89-0.64-0.59-0.38-0.11-0.57-0.72-0.8-0.13-0.82-0.1-0.82-0.92-0.59-0.76-0.22-0.14-0.41-0.37-0.84-0.43-0.84-0.23-0.51-0.48-0.9-0.45-0.15-0.84-0.46</f>
        <v>-16.760000000000002</v>
      </c>
      <c r="I40" s="34">
        <f>-0.07-0.36-0.24-0.25-0.18-0.35-0.11-0.89-0.68-0.75-0.02-0.31-0.46-0.24-0.73-0.31-0.94-0.94-0.47-0.65-0.36-0.94</f>
        <v>-10.25</v>
      </c>
      <c r="K40" s="60">
        <f>-0.76-0.83-0.19-0.35-0.13-0.13-0.76-0.67-0.95-0.01-0.5-0.66-0.68-0.26-12-0.48-0.64-0.67-0.83-0.76-0.31-0.22-0.45-0.62-0.77-0.35-0.57-0.45-0.64-0.92-0.4-0.36-0.08-0.22-0.75-0.22-0.16-0.5-0.75-0.04-0.58-0.03</f>
        <v>-31.649999999999995</v>
      </c>
      <c r="M40" s="11">
        <f t="shared" si="1"/>
        <v>-117.13999999999999</v>
      </c>
    </row>
    <row r="41" spans="1:13" ht="15.75" x14ac:dyDescent="0.3">
      <c r="A41" s="128" t="s">
        <v>161</v>
      </c>
      <c r="B41" s="9"/>
      <c r="C41" s="1">
        <f>-2.8-5.73-255.78-2.83-0.54-0.61-24.25-120.89-11.27-16.39-4.64-44.4-2.69-98.15-0.99-22.87-9.48-39.49-3.25-1.9-5.44-393.44-22.99</f>
        <v>-1090.82</v>
      </c>
      <c r="E41" s="34">
        <f>70.98-43.95-38.4-60.5-25.81-8.13-2.03-5.37-23.5-38.75-13.14-40.43-2.22-26.58-51.35-7.27-6.02-19.6-10.29-5.73-80.05-103.08-7.41-49.34</f>
        <v>-597.97000000000014</v>
      </c>
      <c r="G41" s="34">
        <f>-4.41-2.36-200.33-0.11-26.25-0.47-0.57-12.88-3.68-86-8.11-1.68+190.59-16.28-4.38-3.04-195.58-1.61-68.77-38.1-1.08-50.44-0.11-26.97-3.12-32.06</f>
        <v>-597.80000000000018</v>
      </c>
      <c r="I41" s="34">
        <f>-60.89-33.69-2.83-14.15-2.29-104.72-2.82-9.82-2.69-2.74-0.15-2.98+147.37-54.91-81.74-9.21-1.89-7.61-19.34-26.79-0.9</f>
        <v>-294.78999999999996</v>
      </c>
      <c r="K41" s="60">
        <f>-0.9-7.45-9.3-128.32-6.75-1.68-50.54-6.47-1.9-0.08-1.75-29.01-1.07-47.35-4.37-7.5-1.6-6.27</f>
        <v>-312.31</v>
      </c>
      <c r="M41" s="11">
        <f t="shared" si="1"/>
        <v>-2893.69</v>
      </c>
    </row>
    <row r="42" spans="1:13" ht="15.75" x14ac:dyDescent="0.3">
      <c r="A42" s="128" t="s">
        <v>181</v>
      </c>
      <c r="B42" s="9"/>
      <c r="C42" s="1">
        <f>2000</f>
        <v>2000</v>
      </c>
      <c r="E42" s="34">
        <f>2000</f>
        <v>2000</v>
      </c>
      <c r="G42" s="34">
        <v>0</v>
      </c>
      <c r="I42" s="34">
        <v>0</v>
      </c>
      <c r="K42" s="60">
        <v>0</v>
      </c>
      <c r="M42" s="11">
        <f t="shared" si="1"/>
        <v>4000</v>
      </c>
    </row>
    <row r="43" spans="1:13" ht="15.75" x14ac:dyDescent="0.3">
      <c r="A43" s="128" t="s">
        <v>65</v>
      </c>
      <c r="B43" s="9"/>
      <c r="C43" s="1">
        <f>4000+2000+1522.75+3045.5+1750+787.5+606.45+252.69+850+425+66.66+0.12+14.3+25+25+15.22</f>
        <v>15386.19</v>
      </c>
      <c r="E43" s="34">
        <v>0</v>
      </c>
      <c r="G43" s="34">
        <v>0</v>
      </c>
      <c r="I43" s="34">
        <v>0</v>
      </c>
      <c r="K43" s="60">
        <v>0</v>
      </c>
      <c r="M43" s="11">
        <f t="shared" si="1"/>
        <v>15386.19</v>
      </c>
    </row>
    <row r="44" spans="1:13" ht="15.75" x14ac:dyDescent="0.3">
      <c r="A44" s="128" t="s">
        <v>186</v>
      </c>
      <c r="B44" s="9"/>
      <c r="C44" s="1">
        <f>-2193.24-1776.34-898.18-342.98-514.56</f>
        <v>-5725.2999999999993</v>
      </c>
      <c r="E44" s="34">
        <v>0</v>
      </c>
      <c r="G44" s="34">
        <v>0</v>
      </c>
      <c r="I44" s="34">
        <v>0</v>
      </c>
      <c r="K44" s="60">
        <v>0</v>
      </c>
      <c r="M44" s="11">
        <f t="shared" si="1"/>
        <v>-5725.2999999999993</v>
      </c>
    </row>
    <row r="45" spans="1:13" ht="16.5" x14ac:dyDescent="0.3">
      <c r="A45" s="106" t="s">
        <v>185</v>
      </c>
      <c r="B45" s="9"/>
      <c r="C45" s="1">
        <f>-213.22-141.2-1.19-4.56-0.05-18.75-2.04-0.44</f>
        <v>-381.45</v>
      </c>
      <c r="E45" s="34">
        <f>-715.85</f>
        <v>-715.85</v>
      </c>
      <c r="G45" s="34">
        <v>0</v>
      </c>
      <c r="I45" s="34">
        <v>0</v>
      </c>
      <c r="K45" s="60">
        <v>0</v>
      </c>
      <c r="M45" s="11">
        <f t="shared" si="1"/>
        <v>-1097.3</v>
      </c>
    </row>
    <row r="46" spans="1:13" ht="15.75" x14ac:dyDescent="0.3">
      <c r="A46" s="128" t="s">
        <v>193</v>
      </c>
      <c r="B46" s="9"/>
      <c r="C46" s="1">
        <f>-482.92-392.39-178.37-64.93-82.35-6.01-0.13-0.09-3.14-2-1.67-2.29-0.27-0.76-0.41-0.13-0.07-1.3-0.36</f>
        <v>-1219.5899999999999</v>
      </c>
      <c r="E46" s="34">
        <f>-0.54-0.79-470.75-266.7-26.63</f>
        <v>-765.41</v>
      </c>
      <c r="G46" s="34">
        <v>0</v>
      </c>
      <c r="I46" s="34">
        <v>0</v>
      </c>
      <c r="K46" s="60">
        <v>0</v>
      </c>
      <c r="M46" s="11">
        <f t="shared" si="1"/>
        <v>-1985</v>
      </c>
    </row>
    <row r="47" spans="1:13" ht="15.75" x14ac:dyDescent="0.3">
      <c r="A47" s="128" t="s">
        <v>64</v>
      </c>
      <c r="B47" s="9"/>
      <c r="C47" s="1">
        <v>0</v>
      </c>
      <c r="E47" s="34">
        <f>1558.96</f>
        <v>1558.96</v>
      </c>
      <c r="G47" s="34">
        <f>5716.11+1853.65+4402.91</f>
        <v>11972.67</v>
      </c>
      <c r="I47" s="34">
        <f>1609.34+3487.65</f>
        <v>5096.99</v>
      </c>
      <c r="K47" s="60">
        <f>3808.4+3162.31+2251.18+712.79</f>
        <v>9934.68</v>
      </c>
      <c r="M47" s="11">
        <f t="shared" si="1"/>
        <v>28563.300000000003</v>
      </c>
    </row>
    <row r="48" spans="1:13" ht="15.75" x14ac:dyDescent="0.3">
      <c r="A48" s="128" t="s">
        <v>151</v>
      </c>
      <c r="B48" s="9"/>
      <c r="C48" s="1">
        <v>0</v>
      </c>
      <c r="E48" s="34">
        <v>0</v>
      </c>
      <c r="G48" s="34">
        <f>5750.23+842.6</f>
        <v>6592.83</v>
      </c>
      <c r="I48" s="34">
        <f>1113.09</f>
        <v>1113.0899999999999</v>
      </c>
      <c r="K48" s="60">
        <f>564.22+1092.37+1173.39+3398.24</f>
        <v>6228.2199999999993</v>
      </c>
      <c r="M48" s="11">
        <f t="shared" si="1"/>
        <v>13934.14</v>
      </c>
    </row>
    <row r="49" spans="1:13" ht="15.75" x14ac:dyDescent="0.3">
      <c r="A49" s="128" t="s">
        <v>170</v>
      </c>
      <c r="B49" s="9"/>
      <c r="C49" s="1">
        <f>1471.03+3092.96+1212.9+121.59+132.51+1955.66+850</f>
        <v>8836.65</v>
      </c>
      <c r="E49" s="34">
        <f>2684.96+1212.9+1891.67+157.87+1479+838.1</f>
        <v>8264.5</v>
      </c>
      <c r="G49" s="34">
        <f>1425.37+1565.74+1553.88+3803.62+1132.04+1361.67+793.33+2180.85</f>
        <v>13816.500000000002</v>
      </c>
      <c r="I49" s="34">
        <f>3615.64+2470.2+2876.61+5721.27+1748.71+80.86+733.33-793.33+203.03+71.67+56.67</f>
        <v>16784.659999999996</v>
      </c>
      <c r="K49" s="60">
        <v>0</v>
      </c>
      <c r="M49" s="11">
        <f t="shared" si="1"/>
        <v>47702.31</v>
      </c>
    </row>
    <row r="50" spans="1:13" ht="15.75" x14ac:dyDescent="0.3">
      <c r="A50" s="128" t="s">
        <v>169</v>
      </c>
      <c r="B50" s="9"/>
      <c r="C50" s="1">
        <f>-1176.46-1955.66-1249.01</f>
        <v>-4381.13</v>
      </c>
      <c r="E50" s="34">
        <f>-1471.03-3092.96-157.87</f>
        <v>-4721.8599999999997</v>
      </c>
      <c r="G50" s="34">
        <f>-1461.36-1765.55-1395.09</f>
        <v>-4622</v>
      </c>
      <c r="I50" s="34">
        <f>-3615.64-126.12-1435.78-1450.28-253.57-1289.87</f>
        <v>-8171.2599999999993</v>
      </c>
      <c r="K50" s="60">
        <f>-3550.05-1748.71-5721.27-1958.54-104.38</f>
        <v>-13082.949999999999</v>
      </c>
      <c r="M50" s="11">
        <f t="shared" si="1"/>
        <v>-34979.199999999997</v>
      </c>
    </row>
    <row r="51" spans="1:13" x14ac:dyDescent="0.25">
      <c r="A51" s="129" t="s">
        <v>229</v>
      </c>
      <c r="B51" s="9"/>
      <c r="C51" s="1">
        <f>319.69+144.8+64.27+750+144.8+325+120.84+72.4+0.76+0.58+99.69+81.5+72.4+0.66+210.65+166.28+144.8+0.7+7.43+103.89+120.67+0.75+3.79+52.59+54.3+0.82+46.47+86.39+72.4+0.2+18.92+41.2+30.17+0.02+0.44+72.4+8.01+9.15+0.51+144.8+16.01+18.59+1.39+2.76+2.62+2.85+0.35+537.27+144.8+16.01+18.59+144.8+343.13+83.33+0.45+25+3.35+9.44+5.12+1.46+0.86+16.21+3.29</f>
        <v>4992.8200000000015</v>
      </c>
      <c r="E51" s="34">
        <f>4.49+1.55+503.62+144.8+97.18+55.98+1069.89+747.57+52.3+930.8+606.14+423.62+28.72+527.99</f>
        <v>5194.6500000000005</v>
      </c>
      <c r="G51" s="34">
        <f>96.05+6.39+220.64+485.04+577.81+91.71+26.71+253.33+8.1+0.13+2.74+401.47+135.15+85.37+190.56+11.94+0.92+4.29</f>
        <v>2598.35</v>
      </c>
      <c r="I51" s="34">
        <f>1139.69+236.4+32.11+680.37+6.86+0.46+15.76+34.65+388.89+14.49+105.07+413.93+19.44+0.72+5.25+36.67+20.69+194.44+60.42+147.09+398.43+10.39+6.89+15.76+78.69+304.11+0.07+4.28+1.45+0.14+0.42+13.33+1.41+4.83+30.41+133.34+14.06+48.26+716.67+28.68+9.65+6.1+13.61+0.86+0.06+0.3</f>
        <v>5395.6</v>
      </c>
      <c r="K51" s="60">
        <f>56.67+13.89+4.32+10.51+28.46+1101.68+220.64+96.52+145.42+2842.47+1141.07+51.35+12.42+236.4+480.41+2666.67+411.11+105.07+1060.95+216.24+530.47+1333.33+52.53+205.56+25.5+43.33+5.25+0.14+27.78+510.04+105.07+2.82+555.55+866.67+0.94</f>
        <v>15167.25</v>
      </c>
      <c r="M51" s="11">
        <f t="shared" si="1"/>
        <v>33348.67</v>
      </c>
    </row>
    <row r="52" spans="1:13" ht="16.5" x14ac:dyDescent="0.3">
      <c r="A52" s="106" t="s">
        <v>168</v>
      </c>
      <c r="B52" s="9"/>
      <c r="C52" s="1">
        <v>0</v>
      </c>
      <c r="E52" s="34">
        <v>0</v>
      </c>
      <c r="G52" s="34">
        <f>-26.9-0.82</f>
        <v>-27.72</v>
      </c>
      <c r="I52" s="34">
        <f>-309.93-22.93-1.42</f>
        <v>-334.28000000000003</v>
      </c>
      <c r="K52" s="60">
        <f>-321.02-172.94-177.61</f>
        <v>-671.56999999999994</v>
      </c>
      <c r="M52" s="11">
        <f t="shared" si="1"/>
        <v>-1033.57</v>
      </c>
    </row>
    <row r="53" spans="1:13" ht="15.75" x14ac:dyDescent="0.3">
      <c r="A53" s="128" t="s">
        <v>66</v>
      </c>
      <c r="B53" s="9"/>
      <c r="C53" s="1">
        <f>-102.3-193.41-123.52</f>
        <v>-419.22999999999996</v>
      </c>
      <c r="E53" s="34">
        <f>-181.3</f>
        <v>-181.3</v>
      </c>
      <c r="G53" s="34">
        <f>-144.52-0.85-174.61-1.78-254.23-31.26</f>
        <v>-607.25</v>
      </c>
      <c r="I53" s="34">
        <f>-501.46-149.01-72.97-12.47-143.43-5.68-0.42-34.2-13.38</f>
        <v>-933.0200000000001</v>
      </c>
      <c r="K53" s="60">
        <f>-13.43-10.25-103.6-12.49-478.81-466.81-183.61-70.49-10.33</f>
        <v>-1349.82</v>
      </c>
      <c r="M53" s="11">
        <f t="shared" si="1"/>
        <v>-3490.62</v>
      </c>
    </row>
    <row r="54" spans="1:13" ht="15.75" x14ac:dyDescent="0.3">
      <c r="A54" s="128" t="s">
        <v>198</v>
      </c>
      <c r="B54" s="9"/>
      <c r="C54" s="1">
        <v>0</v>
      </c>
      <c r="E54" s="34">
        <f>-2000</f>
        <v>-2000</v>
      </c>
      <c r="G54" s="34">
        <v>0</v>
      </c>
      <c r="I54" s="34">
        <v>0</v>
      </c>
      <c r="K54" s="60">
        <v>0</v>
      </c>
      <c r="M54" s="11">
        <f t="shared" si="1"/>
        <v>-2000</v>
      </c>
    </row>
    <row r="55" spans="1:13" s="32" customFormat="1" ht="15.75" x14ac:dyDescent="0.3">
      <c r="A55" s="118" t="s">
        <v>32</v>
      </c>
      <c r="C55" s="81">
        <f>SUM(C19:C54)</f>
        <v>66033.065000000017</v>
      </c>
      <c r="E55" s="81">
        <f>SUM(E19:E54)</f>
        <v>62022.750000000007</v>
      </c>
      <c r="G55" s="81">
        <f>SUM(G19:G54)</f>
        <v>75189.649999999994</v>
      </c>
      <c r="I55" s="81">
        <f>SUM(I19:I54)</f>
        <v>60373.919999999984</v>
      </c>
      <c r="K55" s="81">
        <f>SUM(K19:K54)</f>
        <v>66308.850000000006</v>
      </c>
      <c r="M55" s="79">
        <f>SUM(C55+E55+G55+I55+K55)</f>
        <v>329928.23499999999</v>
      </c>
    </row>
    <row r="56" spans="1:13" ht="15.75" x14ac:dyDescent="0.3">
      <c r="A56" s="127" t="s">
        <v>174</v>
      </c>
      <c r="B56" s="9"/>
      <c r="C56" s="1"/>
      <c r="E56" s="34"/>
      <c r="G56" s="34"/>
      <c r="I56" s="34"/>
      <c r="K56" s="60"/>
      <c r="M56" s="76"/>
    </row>
    <row r="57" spans="1:13" ht="15.75" x14ac:dyDescent="0.3">
      <c r="A57" s="130" t="s">
        <v>175</v>
      </c>
      <c r="B57" s="9"/>
      <c r="C57" s="1">
        <f>2400</f>
        <v>2400</v>
      </c>
      <c r="E57" s="34">
        <f>1000+2400</f>
        <v>3400</v>
      </c>
      <c r="G57" s="34">
        <v>2400</v>
      </c>
      <c r="I57" s="34">
        <f>2400</f>
        <v>2400</v>
      </c>
      <c r="K57" s="60">
        <f>2400</f>
        <v>2400</v>
      </c>
      <c r="M57" s="11">
        <f>SUM(C57+E57+G57+I57+K57)</f>
        <v>13000</v>
      </c>
    </row>
    <row r="58" spans="1:13" ht="15.75" x14ac:dyDescent="0.3">
      <c r="A58" s="130" t="s">
        <v>73</v>
      </c>
      <c r="B58" s="9"/>
      <c r="C58" s="1">
        <f>724</f>
        <v>724</v>
      </c>
      <c r="E58" s="34">
        <f>788</f>
        <v>788</v>
      </c>
      <c r="G58" s="34">
        <f>788</f>
        <v>788</v>
      </c>
      <c r="I58" s="34">
        <f>788</f>
        <v>788</v>
      </c>
      <c r="K58" s="60">
        <f>788</f>
        <v>788</v>
      </c>
      <c r="M58" s="11">
        <f>SUM(C58+E58+G58+I58+K58)</f>
        <v>3876</v>
      </c>
    </row>
    <row r="59" spans="1:13" ht="15.75" x14ac:dyDescent="0.3">
      <c r="A59" s="130"/>
      <c r="B59" s="9"/>
      <c r="C59" s="1"/>
      <c r="E59" s="34"/>
      <c r="G59" s="34"/>
      <c r="I59" s="34"/>
      <c r="K59" s="60"/>
      <c r="M59" s="76"/>
    </row>
    <row r="60" spans="1:13" s="32" customFormat="1" ht="15.75" x14ac:dyDescent="0.3">
      <c r="A60" s="118" t="s">
        <v>32</v>
      </c>
      <c r="C60" s="81">
        <f>SUM(C57:C59)</f>
        <v>3124</v>
      </c>
      <c r="E60" s="81">
        <f>SUM(E57:E59)</f>
        <v>4188</v>
      </c>
      <c r="G60" s="81">
        <f>SUM(G57:G59)</f>
        <v>3188</v>
      </c>
      <c r="I60" s="81">
        <f>SUM(I57:I59)</f>
        <v>3188</v>
      </c>
      <c r="K60" s="81">
        <f>SUM(K57:K58)</f>
        <v>3188</v>
      </c>
      <c r="M60" s="79">
        <f>SUM(M57:M59)</f>
        <v>16876</v>
      </c>
    </row>
    <row r="61" spans="1:13" s="32" customFormat="1" ht="18" x14ac:dyDescent="0.35">
      <c r="A61" s="131" t="s">
        <v>213</v>
      </c>
      <c r="B61" s="9"/>
      <c r="C61" s="69"/>
      <c r="E61" s="69"/>
      <c r="G61" s="69"/>
      <c r="I61" s="69"/>
      <c r="K61" s="69"/>
      <c r="M61" s="76"/>
    </row>
    <row r="62" spans="1:13" s="32" customFormat="1" ht="16.5" x14ac:dyDescent="0.3">
      <c r="A62" s="132" t="s">
        <v>214</v>
      </c>
      <c r="B62" s="9"/>
      <c r="C62" s="60">
        <f>7428.99</f>
        <v>7428.99</v>
      </c>
      <c r="D62" s="61"/>
      <c r="E62" s="1">
        <f>7766.99+7600.76</f>
        <v>15367.75</v>
      </c>
      <c r="F62" s="61"/>
      <c r="G62" s="60">
        <v>0</v>
      </c>
      <c r="H62" s="61"/>
      <c r="I62" s="60"/>
      <c r="J62" s="61"/>
      <c r="K62" s="60">
        <f>6051.96</f>
        <v>6051.96</v>
      </c>
      <c r="M62" s="76">
        <f>SUM(C62+E62+G62+I62+K62)</f>
        <v>28848.699999999997</v>
      </c>
    </row>
    <row r="63" spans="1:13" s="32" customFormat="1" ht="16.5" x14ac:dyDescent="0.3">
      <c r="A63" s="132" t="s">
        <v>215</v>
      </c>
      <c r="B63" s="9"/>
      <c r="C63" s="60">
        <f>6005.62</f>
        <v>6005.62</v>
      </c>
      <c r="D63" s="61"/>
      <c r="E63" s="60">
        <f>5901.09+8616.91</f>
        <v>14518</v>
      </c>
      <c r="F63" s="61"/>
      <c r="G63" s="60">
        <v>0</v>
      </c>
      <c r="H63" s="61"/>
      <c r="I63" s="60">
        <f>8793.35+6116.57+5851.22</f>
        <v>20761.14</v>
      </c>
      <c r="J63" s="61"/>
      <c r="K63" s="60">
        <f>6177.85</f>
        <v>6177.85</v>
      </c>
      <c r="M63" s="76">
        <f t="shared" ref="M63:M67" si="2">SUM(C63+E63+G63+I63+K63)</f>
        <v>47462.609999999993</v>
      </c>
    </row>
    <row r="64" spans="1:13" s="32" customFormat="1" ht="16.5" x14ac:dyDescent="0.3">
      <c r="A64" s="132" t="s">
        <v>216</v>
      </c>
      <c r="B64" s="9"/>
      <c r="C64" s="60">
        <v>0</v>
      </c>
      <c r="D64" s="61"/>
      <c r="E64" s="60">
        <f>5678.94+5702.34</f>
        <v>11381.279999999999</v>
      </c>
      <c r="F64" s="61"/>
      <c r="G64" s="60">
        <v>0</v>
      </c>
      <c r="H64" s="61"/>
      <c r="I64" s="60">
        <f>927.87+5059.06+6011.62</f>
        <v>11998.55</v>
      </c>
      <c r="J64" s="61"/>
      <c r="K64" s="60">
        <f>10697.88</f>
        <v>10697.88</v>
      </c>
      <c r="M64" s="76">
        <f t="shared" si="2"/>
        <v>34077.71</v>
      </c>
    </row>
    <row r="65" spans="1:13" s="32" customFormat="1" ht="16.5" x14ac:dyDescent="0.3">
      <c r="A65" s="132" t="s">
        <v>217</v>
      </c>
      <c r="B65" s="9"/>
      <c r="C65" s="60">
        <v>0</v>
      </c>
      <c r="D65" s="61"/>
      <c r="E65" s="60">
        <f>575.39+535.85</f>
        <v>1111.24</v>
      </c>
      <c r="F65" s="61"/>
      <c r="G65" s="60">
        <v>0</v>
      </c>
      <c r="H65" s="61"/>
      <c r="I65" s="60">
        <f>680.59+693.24+305.92+161.8</f>
        <v>1841.55</v>
      </c>
      <c r="J65" s="61"/>
      <c r="K65" s="60">
        <f>731.81</f>
        <v>731.81</v>
      </c>
      <c r="M65" s="76">
        <f t="shared" si="2"/>
        <v>3684.6</v>
      </c>
    </row>
    <row r="66" spans="1:13" s="32" customFormat="1" ht="16.5" x14ac:dyDescent="0.3">
      <c r="A66" s="132" t="s">
        <v>218</v>
      </c>
      <c r="B66" s="9"/>
      <c r="C66" s="60">
        <v>0</v>
      </c>
      <c r="D66" s="61"/>
      <c r="E66" s="60">
        <f>1084.35+1089.08</f>
        <v>2173.4299999999998</v>
      </c>
      <c r="F66" s="61"/>
      <c r="G66" s="60">
        <v>0</v>
      </c>
      <c r="H66" s="61"/>
      <c r="I66" s="60">
        <f>1053.44+1175.03+2770.74+1497.1</f>
        <v>6496.3099999999995</v>
      </c>
      <c r="J66" s="61"/>
      <c r="K66" s="60">
        <f>1316.74</f>
        <v>1316.74</v>
      </c>
      <c r="M66" s="76">
        <f t="shared" si="2"/>
        <v>9986.48</v>
      </c>
    </row>
    <row r="67" spans="1:13" s="32" customFormat="1" ht="16.5" x14ac:dyDescent="0.3">
      <c r="A67" s="132" t="s">
        <v>219</v>
      </c>
      <c r="B67" s="9"/>
      <c r="C67" s="60">
        <v>0</v>
      </c>
      <c r="D67" s="61"/>
      <c r="E67" s="60">
        <f>834.19+891.21</f>
        <v>1725.4</v>
      </c>
      <c r="F67" s="61"/>
      <c r="G67" s="60">
        <v>0</v>
      </c>
      <c r="H67" s="61"/>
      <c r="I67" s="60">
        <f>1579.51+812.18+854.57+824.01</f>
        <v>4070.2700000000004</v>
      </c>
      <c r="J67" s="61"/>
      <c r="K67" s="60">
        <f>893.49</f>
        <v>893.49</v>
      </c>
      <c r="M67" s="76">
        <f t="shared" si="2"/>
        <v>6689.16</v>
      </c>
    </row>
    <row r="68" spans="1:13" s="32" customFormat="1" ht="18" x14ac:dyDescent="0.35">
      <c r="A68" s="133" t="s">
        <v>32</v>
      </c>
      <c r="B68" s="3"/>
      <c r="C68" s="81">
        <f>SUM(C62:C67)</f>
        <v>13434.61</v>
      </c>
      <c r="E68" s="81">
        <f>SUM(E62:E67)</f>
        <v>46277.1</v>
      </c>
      <c r="G68" s="81">
        <f>SUM(G62:G67)</f>
        <v>0</v>
      </c>
      <c r="I68" s="81">
        <f>SUM(I62:I67)</f>
        <v>45167.819999999992</v>
      </c>
      <c r="K68" s="81">
        <f>SUM(K62:K67)</f>
        <v>25869.730000000007</v>
      </c>
      <c r="M68" s="79">
        <f>SUM(C68+E68+G68+I68+K68)</f>
        <v>130749.26000000001</v>
      </c>
    </row>
    <row r="69" spans="1:13" s="32" customFormat="1" ht="16.5" x14ac:dyDescent="0.3">
      <c r="A69" s="127" t="s">
        <v>51</v>
      </c>
      <c r="B69" s="9"/>
      <c r="C69" s="69"/>
      <c r="E69" s="69"/>
      <c r="G69" s="69"/>
      <c r="I69" s="69"/>
      <c r="K69" s="69"/>
      <c r="M69" s="93">
        <v>2</v>
      </c>
    </row>
    <row r="70" spans="1:13" s="32" customFormat="1" ht="15.75" x14ac:dyDescent="0.3">
      <c r="A70" s="128" t="s">
        <v>220</v>
      </c>
      <c r="B70" s="9"/>
      <c r="C70" s="1">
        <f>547.38+552.21</f>
        <v>1099.5900000000001</v>
      </c>
      <c r="D70"/>
      <c r="E70" s="1">
        <v>556.94000000000005</v>
      </c>
      <c r="F70"/>
      <c r="G70" s="1">
        <f>561.06</f>
        <v>561.05999999999995</v>
      </c>
      <c r="H70"/>
      <c r="I70" s="1">
        <f>566.3</f>
        <v>566.29999999999995</v>
      </c>
      <c r="J70"/>
      <c r="K70" s="1">
        <f>571.08</f>
        <v>571.08000000000004</v>
      </c>
      <c r="L70"/>
      <c r="M70" s="11">
        <f t="shared" ref="M70:M72" si="3">SUM(C70+E70+G70+I70+K70)</f>
        <v>3354.9700000000003</v>
      </c>
    </row>
    <row r="71" spans="1:13" s="32" customFormat="1" ht="15.75" x14ac:dyDescent="0.3">
      <c r="A71" s="128" t="s">
        <v>221</v>
      </c>
      <c r="B71" s="9"/>
      <c r="C71" s="1">
        <v>0</v>
      </c>
      <c r="D71"/>
      <c r="E71" s="1">
        <f>602.49+602.49</f>
        <v>1204.98</v>
      </c>
      <c r="F71"/>
      <c r="G71" s="1">
        <f>607.02</f>
        <v>607.02</v>
      </c>
      <c r="H71"/>
      <c r="I71" s="1">
        <f>612.76</f>
        <v>612.76</v>
      </c>
      <c r="J71"/>
      <c r="K71" s="1">
        <f>618.01</f>
        <v>618.01</v>
      </c>
      <c r="L71"/>
      <c r="M71" s="11">
        <f t="shared" si="3"/>
        <v>3042.7700000000004</v>
      </c>
    </row>
    <row r="72" spans="1:13" s="32" customFormat="1" ht="15.75" x14ac:dyDescent="0.3">
      <c r="A72" s="128" t="s">
        <v>222</v>
      </c>
      <c r="B72" s="9"/>
      <c r="C72" s="1">
        <v>0</v>
      </c>
      <c r="D72"/>
      <c r="E72" s="1">
        <v>0</v>
      </c>
      <c r="F72"/>
      <c r="G72" s="1">
        <v>0</v>
      </c>
      <c r="H72"/>
      <c r="I72" s="1">
        <f>501.17</f>
        <v>501.17</v>
      </c>
      <c r="J72"/>
      <c r="K72" s="1">
        <f>506.18</f>
        <v>506.18</v>
      </c>
      <c r="L72"/>
      <c r="M72" s="11">
        <f t="shared" si="3"/>
        <v>1007.35</v>
      </c>
    </row>
    <row r="73" spans="1:13" s="32" customFormat="1" ht="15.75" x14ac:dyDescent="0.3">
      <c r="A73" s="134" t="s">
        <v>32</v>
      </c>
      <c r="B73" s="33"/>
      <c r="C73" s="81">
        <f>SUM(C70:C72)</f>
        <v>1099.5900000000001</v>
      </c>
      <c r="E73" s="81">
        <f>SUM(E70:E72)</f>
        <v>1761.92</v>
      </c>
      <c r="G73" s="81">
        <f>SUM(G70:G72)</f>
        <v>1168.08</v>
      </c>
      <c r="I73" s="81">
        <f>SUM(I70:I72)</f>
        <v>1680.23</v>
      </c>
      <c r="K73" s="81">
        <f>SUM(K70:K72)</f>
        <v>1695.2700000000002</v>
      </c>
      <c r="M73" s="79">
        <f>SUM(C73+E73+G73+I73+K73)</f>
        <v>7405.09</v>
      </c>
    </row>
    <row r="74" spans="1:13" ht="15.75" x14ac:dyDescent="0.3">
      <c r="A74" s="127" t="s">
        <v>223</v>
      </c>
      <c r="B74" s="9"/>
      <c r="C74" s="1"/>
      <c r="E74" s="34"/>
      <c r="G74" s="34"/>
      <c r="I74" s="34"/>
      <c r="K74" s="60"/>
      <c r="M74" s="76"/>
    </row>
    <row r="75" spans="1:13" ht="15.75" x14ac:dyDescent="0.3">
      <c r="A75" s="128" t="s">
        <v>224</v>
      </c>
      <c r="B75" s="9"/>
      <c r="C75" s="60">
        <f>5924.94</f>
        <v>5924.94</v>
      </c>
      <c r="E75" s="34">
        <v>6174.81</v>
      </c>
      <c r="G75" s="34">
        <v>6174.81</v>
      </c>
      <c r="I75" s="34">
        <f>6304.81</f>
        <v>6304.81</v>
      </c>
      <c r="K75" s="60">
        <f>6174.81</f>
        <v>6174.81</v>
      </c>
      <c r="M75" s="11">
        <f>SUM(C75+E75+G75+I75+K75)</f>
        <v>30754.180000000004</v>
      </c>
    </row>
    <row r="76" spans="1:13" ht="15.75" x14ac:dyDescent="0.3">
      <c r="A76" s="134" t="s">
        <v>32</v>
      </c>
      <c r="B76" s="32"/>
      <c r="C76" s="81">
        <f>SUM(C75)</f>
        <v>5924.94</v>
      </c>
      <c r="D76" s="32"/>
      <c r="E76" s="81">
        <f>SUM(E75)</f>
        <v>6174.81</v>
      </c>
      <c r="F76" s="32"/>
      <c r="G76" s="81">
        <f>SUM(G75)</f>
        <v>6174.81</v>
      </c>
      <c r="H76" s="32"/>
      <c r="I76" s="81">
        <f>SUM(I75)</f>
        <v>6304.81</v>
      </c>
      <c r="J76" s="32"/>
      <c r="K76" s="81">
        <f>SUM(K75)</f>
        <v>6174.81</v>
      </c>
      <c r="L76" s="32"/>
      <c r="M76" s="79">
        <f>SUM(C76+E76+G76+I76+K76)</f>
        <v>30754.180000000004</v>
      </c>
    </row>
    <row r="77" spans="1:13" ht="15.75" x14ac:dyDescent="0.3">
      <c r="A77" s="127" t="s">
        <v>68</v>
      </c>
      <c r="B77" s="9"/>
      <c r="C77" s="1"/>
      <c r="E77" s="34"/>
      <c r="G77" s="34"/>
      <c r="I77" s="34"/>
      <c r="K77" s="60"/>
      <c r="M77" s="76"/>
    </row>
    <row r="78" spans="1:13" ht="15.75" x14ac:dyDescent="0.3">
      <c r="A78" s="128" t="s">
        <v>112</v>
      </c>
      <c r="B78" s="9"/>
      <c r="C78" s="1">
        <f>10147+7480+16530</f>
        <v>34157</v>
      </c>
      <c r="E78" s="34">
        <f>1870+8569.99+8228+18810</f>
        <v>37477.99</v>
      </c>
      <c r="G78" s="34">
        <f>3038.75+15801.5+14679.5+18925.49+2337.5</f>
        <v>54782.740000000005</v>
      </c>
      <c r="I78" s="34">
        <f>5069.5+3325</f>
        <v>8394.5</v>
      </c>
      <c r="K78" s="60">
        <f>19391.13+23281.5+29452.5</f>
        <v>72125.13</v>
      </c>
      <c r="M78" s="11">
        <f>SUM(C78+E78+G78+I78+K78)</f>
        <v>206937.36</v>
      </c>
    </row>
    <row r="79" spans="1:13" ht="15.75" x14ac:dyDescent="0.3">
      <c r="A79" s="128" t="s">
        <v>69</v>
      </c>
      <c r="B79" s="9"/>
      <c r="C79" s="1">
        <f>1400+1776.5+6030.75</f>
        <v>9207.25</v>
      </c>
      <c r="E79" s="34">
        <f>5240.94+1542.75+2807.02+6451.5+3038.75+981.75+1187.5</f>
        <v>21250.21</v>
      </c>
      <c r="G79" s="34">
        <f>1447.95+4095.28</f>
        <v>5543.2300000000005</v>
      </c>
      <c r="I79" s="34">
        <f>137.9+1418.55+3440.47+4385.15+7012.5+1080.8</f>
        <v>17475.37</v>
      </c>
      <c r="K79" s="60">
        <f>5236+1702.75+1958.95</f>
        <v>8897.7000000000007</v>
      </c>
      <c r="M79" s="11">
        <f t="shared" ref="M79:M82" si="4">SUM(C79+E79+G79+I79+K79)</f>
        <v>62373.759999999995</v>
      </c>
    </row>
    <row r="80" spans="1:13" ht="15.75" x14ac:dyDescent="0.3">
      <c r="A80" s="128" t="s">
        <v>150</v>
      </c>
      <c r="B80" s="9"/>
      <c r="C80" s="1">
        <v>0</v>
      </c>
      <c r="E80" s="34">
        <f>14292.68+7300.13+5385.6</f>
        <v>26978.410000000003</v>
      </c>
      <c r="G80" s="34">
        <v>0</v>
      </c>
      <c r="I80" s="34">
        <f>7635.37+18797.04</f>
        <v>26432.41</v>
      </c>
      <c r="K80" s="60">
        <v>0</v>
      </c>
      <c r="M80" s="11">
        <f t="shared" si="4"/>
        <v>53410.820000000007</v>
      </c>
    </row>
    <row r="81" spans="1:16" ht="15.75" x14ac:dyDescent="0.3">
      <c r="A81" s="128" t="s">
        <v>70</v>
      </c>
      <c r="B81" s="9"/>
      <c r="C81" s="1">
        <v>0</v>
      </c>
      <c r="E81" s="34">
        <v>0</v>
      </c>
      <c r="G81" s="34">
        <v>0</v>
      </c>
      <c r="I81" s="34">
        <v>0</v>
      </c>
      <c r="K81" s="60">
        <v>0</v>
      </c>
      <c r="M81" s="11">
        <f t="shared" si="4"/>
        <v>0</v>
      </c>
    </row>
    <row r="82" spans="1:16" ht="15.75" x14ac:dyDescent="0.3">
      <c r="A82" s="128" t="s">
        <v>71</v>
      </c>
      <c r="B82" s="9"/>
      <c r="C82" s="1">
        <v>0</v>
      </c>
      <c r="E82" s="34">
        <v>0</v>
      </c>
      <c r="G82" s="34">
        <v>0</v>
      </c>
      <c r="I82" s="34">
        <v>0</v>
      </c>
      <c r="K82" s="60">
        <v>0</v>
      </c>
      <c r="M82" s="11">
        <f t="shared" si="4"/>
        <v>0</v>
      </c>
    </row>
    <row r="83" spans="1:16" ht="15.75" x14ac:dyDescent="0.3">
      <c r="A83" s="134" t="s">
        <v>32</v>
      </c>
      <c r="B83" s="32"/>
      <c r="C83" s="81">
        <f>SUM(C78:C82)</f>
        <v>43364.25</v>
      </c>
      <c r="D83" s="32"/>
      <c r="E83" s="81">
        <f>SUM(E78:E82)</f>
        <v>85706.61</v>
      </c>
      <c r="F83" s="32"/>
      <c r="G83" s="81">
        <f>SUM(G78:G82)</f>
        <v>60325.970000000008</v>
      </c>
      <c r="H83" s="32"/>
      <c r="I83" s="81">
        <f>SUM(I78:I82)</f>
        <v>52302.28</v>
      </c>
      <c r="J83" s="32"/>
      <c r="K83" s="81">
        <f>SUM(K78:K82)</f>
        <v>81022.83</v>
      </c>
      <c r="L83" s="32"/>
      <c r="M83" s="79">
        <f>SUM(C83+E83+G83+I83+K83)</f>
        <v>322721.94</v>
      </c>
    </row>
    <row r="84" spans="1:16" ht="15.75" x14ac:dyDescent="0.3">
      <c r="A84" s="135" t="s">
        <v>113</v>
      </c>
      <c r="B84" s="9"/>
      <c r="C84" s="1"/>
      <c r="E84" s="34"/>
      <c r="G84" s="34"/>
      <c r="I84" s="34"/>
      <c r="K84" s="60"/>
      <c r="M84" s="76"/>
    </row>
    <row r="85" spans="1:16" ht="15.75" x14ac:dyDescent="0.3">
      <c r="A85" s="128" t="s">
        <v>114</v>
      </c>
      <c r="B85" s="9"/>
      <c r="C85" s="1">
        <v>0</v>
      </c>
      <c r="E85" s="34">
        <f>507.35</f>
        <v>507.35</v>
      </c>
      <c r="G85" s="34">
        <v>0</v>
      </c>
      <c r="I85" s="34">
        <f>523.8</f>
        <v>523.79999999999995</v>
      </c>
      <c r="K85" s="60">
        <v>0</v>
      </c>
      <c r="M85" s="11">
        <f>SUM(C85+E85+G85+I85+K85)</f>
        <v>1031.1500000000001</v>
      </c>
    </row>
    <row r="86" spans="1:16" ht="15.75" x14ac:dyDescent="0.3">
      <c r="A86" s="128" t="s">
        <v>116</v>
      </c>
      <c r="B86" s="9"/>
      <c r="C86" s="1">
        <v>0</v>
      </c>
      <c r="E86" s="34">
        <v>0</v>
      </c>
      <c r="G86" s="34">
        <f>1715</f>
        <v>1715</v>
      </c>
      <c r="I86" s="34">
        <f>3430</f>
        <v>3430</v>
      </c>
      <c r="K86" s="60">
        <v>0</v>
      </c>
      <c r="M86" s="11">
        <f t="shared" ref="M86:M89" si="5">SUM(C86+E86+G86+I86+K86)</f>
        <v>5145</v>
      </c>
    </row>
    <row r="87" spans="1:16" ht="15.75" x14ac:dyDescent="0.3">
      <c r="A87" s="128" t="s">
        <v>117</v>
      </c>
      <c r="B87" s="9"/>
      <c r="C87" s="1">
        <v>0</v>
      </c>
      <c r="E87" s="34">
        <v>0</v>
      </c>
      <c r="G87" s="34">
        <f>1701.17</f>
        <v>1701.17</v>
      </c>
      <c r="I87" s="34">
        <f>3402.34</f>
        <v>3402.34</v>
      </c>
      <c r="K87" s="60">
        <v>0</v>
      </c>
      <c r="M87" s="11">
        <f t="shared" si="5"/>
        <v>5103.51</v>
      </c>
    </row>
    <row r="88" spans="1:16" ht="15.75" x14ac:dyDescent="0.3">
      <c r="A88" s="128" t="s">
        <v>115</v>
      </c>
      <c r="B88" s="9"/>
      <c r="C88" s="1">
        <f>1079.4+350</f>
        <v>1429.4</v>
      </c>
      <c r="E88" s="34">
        <f>150+350</f>
        <v>500</v>
      </c>
      <c r="G88" s="34">
        <f>515</f>
        <v>515</v>
      </c>
      <c r="I88" s="34">
        <f>350+330</f>
        <v>680</v>
      </c>
      <c r="K88" s="60">
        <f>180+350</f>
        <v>530</v>
      </c>
      <c r="M88" s="11">
        <f t="shared" si="5"/>
        <v>3654.4</v>
      </c>
    </row>
    <row r="89" spans="1:16" ht="15.75" x14ac:dyDescent="0.3">
      <c r="A89" s="128" t="s">
        <v>197</v>
      </c>
      <c r="B89" s="9"/>
      <c r="C89" s="1">
        <v>0</v>
      </c>
      <c r="E89" s="34">
        <f>700</f>
        <v>700</v>
      </c>
      <c r="G89" s="34">
        <v>0</v>
      </c>
      <c r="I89" s="34">
        <v>0</v>
      </c>
      <c r="K89" s="60">
        <v>0</v>
      </c>
      <c r="M89" s="11">
        <f t="shared" si="5"/>
        <v>700</v>
      </c>
    </row>
    <row r="90" spans="1:16" ht="15.75" x14ac:dyDescent="0.3">
      <c r="A90" s="134" t="s">
        <v>32</v>
      </c>
      <c r="B90" s="32"/>
      <c r="C90" s="81">
        <f>SUM(C85:C89)</f>
        <v>1429.4</v>
      </c>
      <c r="D90" s="32"/>
      <c r="E90" s="81">
        <f>SUM(E85:E89)</f>
        <v>1707.35</v>
      </c>
      <c r="F90" s="32"/>
      <c r="G90" s="81">
        <f>SUM(G85:G89)</f>
        <v>3931.17</v>
      </c>
      <c r="H90" s="32"/>
      <c r="I90" s="81">
        <f>SUM(I85:I89)</f>
        <v>8036.14</v>
      </c>
      <c r="J90" s="32"/>
      <c r="K90" s="81">
        <f>SUM(K85:K89)</f>
        <v>530</v>
      </c>
      <c r="L90" s="32"/>
      <c r="M90" s="79">
        <f>SUM(C90+E90+G90+I90+K90)</f>
        <v>15634.060000000001</v>
      </c>
    </row>
    <row r="91" spans="1:16" ht="15.75" x14ac:dyDescent="0.3">
      <c r="A91" s="127" t="s">
        <v>88</v>
      </c>
      <c r="B91" s="9"/>
      <c r="C91" s="1"/>
      <c r="E91" s="34"/>
      <c r="G91" s="34"/>
      <c r="I91" s="34"/>
      <c r="K91" s="60"/>
      <c r="M91" s="76"/>
    </row>
    <row r="92" spans="1:16" ht="15.75" x14ac:dyDescent="0.3">
      <c r="A92" s="128" t="s">
        <v>82</v>
      </c>
      <c r="B92" s="9"/>
      <c r="C92" s="1">
        <f>676.38</f>
        <v>676.38</v>
      </c>
      <c r="E92" s="34">
        <f>729.74+44</f>
        <v>773.74</v>
      </c>
      <c r="G92" s="34">
        <f>869.81</f>
        <v>869.81</v>
      </c>
      <c r="I92" s="34">
        <f>623.02</f>
        <v>623.02</v>
      </c>
      <c r="K92" s="60">
        <f>839.79</f>
        <v>839.79</v>
      </c>
      <c r="M92" s="11">
        <f>SUM(C92+E92+G92+I92+K92)</f>
        <v>3782.74</v>
      </c>
      <c r="N92">
        <v>1643.55</v>
      </c>
      <c r="O92">
        <v>1462.81</v>
      </c>
      <c r="P92">
        <f>SUM(N92-O92)</f>
        <v>180.74</v>
      </c>
    </row>
    <row r="93" spans="1:16" ht="15.75" x14ac:dyDescent="0.3">
      <c r="A93" s="128" t="s">
        <v>1</v>
      </c>
      <c r="B93" s="9"/>
      <c r="C93" s="1">
        <f>3489.48</f>
        <v>3489.48</v>
      </c>
      <c r="E93" s="34">
        <f>5471.93+253.24+211.2+3595.82+4182.33</f>
        <v>13714.52</v>
      </c>
      <c r="G93" s="34">
        <f>4857.83</f>
        <v>4857.83</v>
      </c>
      <c r="I93" s="34">
        <f>276.7+202.9+180.38+4675.84</f>
        <v>5335.82</v>
      </c>
      <c r="K93" s="60">
        <v>4778.96</v>
      </c>
      <c r="M93" s="11">
        <f t="shared" ref="M93:M125" si="6">SUM(C93+E93+G93+I93+K93)</f>
        <v>32176.61</v>
      </c>
      <c r="N93" s="158">
        <v>9040.16</v>
      </c>
      <c r="O93" s="158">
        <v>9454.7999999999993</v>
      </c>
      <c r="P93">
        <f>SUM(N93-O93)</f>
        <v>-414.63999999999942</v>
      </c>
    </row>
    <row r="94" spans="1:16" ht="15.75" x14ac:dyDescent="0.3">
      <c r="A94" s="128" t="s">
        <v>81</v>
      </c>
      <c r="B94" s="9"/>
      <c r="C94" s="1">
        <v>0</v>
      </c>
      <c r="E94" s="34">
        <f>150.03+70.01+89.94+599.93+249.96+50</f>
        <v>1209.8699999999999</v>
      </c>
      <c r="G94" s="34">
        <f>69.98+169.95+150.09</f>
        <v>390.02</v>
      </c>
      <c r="I94" s="34">
        <f>782.92+109.94+1012.88</f>
        <v>1905.7399999999998</v>
      </c>
      <c r="K94" s="60">
        <v>0</v>
      </c>
      <c r="M94" s="11">
        <f t="shared" si="6"/>
        <v>3505.6299999999997</v>
      </c>
      <c r="P94">
        <f t="shared" ref="P94:P95" si="7">SUM(N94-O94)</f>
        <v>0</v>
      </c>
    </row>
    <row r="95" spans="1:16" ht="15.75" x14ac:dyDescent="0.3">
      <c r="A95" s="128" t="s">
        <v>89</v>
      </c>
      <c r="B95" s="9"/>
      <c r="C95" s="1">
        <f>846.84+442.86</f>
        <v>1289.7</v>
      </c>
      <c r="E95" s="34">
        <f>59.8+390.94+1158.42</f>
        <v>1609.16</v>
      </c>
      <c r="G95" s="34">
        <f>1548.83+377.36</f>
        <v>1926.19</v>
      </c>
      <c r="I95" s="34">
        <f>391.63+990.2</f>
        <v>1381.83</v>
      </c>
      <c r="K95" s="60">
        <f>874.32+498.28+1010.21+412.71</f>
        <v>2795.52</v>
      </c>
      <c r="M95" s="11">
        <f t="shared" si="6"/>
        <v>9002.4</v>
      </c>
      <c r="N95" s="158">
        <f>SUM(E95+G95)</f>
        <v>3535.3500000000004</v>
      </c>
      <c r="O95">
        <v>2779.59</v>
      </c>
      <c r="P95">
        <f t="shared" si="7"/>
        <v>755.76000000000022</v>
      </c>
    </row>
    <row r="96" spans="1:16" ht="15.75" x14ac:dyDescent="0.3">
      <c r="A96" s="128" t="s">
        <v>90</v>
      </c>
      <c r="B96" s="9"/>
      <c r="C96" s="1">
        <f>75+140.5+3.2+19.4+7.7</f>
        <v>245.79999999999998</v>
      </c>
      <c r="E96" s="34">
        <f>60.95+44.5+8.2+7.65</f>
        <v>121.30000000000001</v>
      </c>
      <c r="G96" s="34">
        <f>8.2</f>
        <v>8.1999999999999993</v>
      </c>
      <c r="I96" s="34">
        <f>19.81</f>
        <v>19.809999999999999</v>
      </c>
      <c r="K96" s="60">
        <v>0</v>
      </c>
      <c r="M96" s="11">
        <f t="shared" si="6"/>
        <v>395.11</v>
      </c>
    </row>
    <row r="97" spans="1:13" ht="15.75" x14ac:dyDescent="0.3">
      <c r="A97" s="128" t="s">
        <v>91</v>
      </c>
      <c r="B97" s="9"/>
      <c r="C97" s="1">
        <v>0</v>
      </c>
      <c r="E97" s="34">
        <f>618.9</f>
        <v>618.9</v>
      </c>
      <c r="G97" s="34">
        <f>1250.8</f>
        <v>1250.8</v>
      </c>
      <c r="I97" s="34">
        <f>904.67</f>
        <v>904.67</v>
      </c>
      <c r="K97" s="60">
        <v>0</v>
      </c>
      <c r="M97" s="11">
        <f t="shared" si="6"/>
        <v>2774.37</v>
      </c>
    </row>
    <row r="98" spans="1:13" ht="15.75" x14ac:dyDescent="0.3">
      <c r="A98" s="128" t="s">
        <v>92</v>
      </c>
      <c r="B98" s="9"/>
      <c r="C98" s="1">
        <v>0</v>
      </c>
      <c r="E98" s="34">
        <f>4277.25</f>
        <v>4277.25</v>
      </c>
      <c r="G98" s="34">
        <f>933.22</f>
        <v>933.22</v>
      </c>
      <c r="I98" s="34">
        <f>1866.44</f>
        <v>1866.44</v>
      </c>
      <c r="K98" s="60">
        <v>0</v>
      </c>
      <c r="M98" s="11">
        <f t="shared" si="6"/>
        <v>7076.91</v>
      </c>
    </row>
    <row r="99" spans="1:13" ht="15.75" x14ac:dyDescent="0.3">
      <c r="A99" s="128" t="s">
        <v>93</v>
      </c>
      <c r="B99" s="9"/>
      <c r="C99" s="1">
        <v>0</v>
      </c>
      <c r="E99" s="34">
        <v>0</v>
      </c>
      <c r="G99" s="34">
        <v>0</v>
      </c>
      <c r="I99" s="34">
        <v>0</v>
      </c>
      <c r="K99" s="60">
        <v>0</v>
      </c>
      <c r="M99" s="11">
        <f t="shared" si="6"/>
        <v>0</v>
      </c>
    </row>
    <row r="100" spans="1:13" ht="16.5" x14ac:dyDescent="0.3">
      <c r="A100" s="106" t="s">
        <v>201</v>
      </c>
      <c r="B100" s="9"/>
      <c r="C100" s="1">
        <f>40+50</f>
        <v>90</v>
      </c>
      <c r="E100" s="34">
        <v>0</v>
      </c>
      <c r="G100" s="34">
        <v>0</v>
      </c>
      <c r="I100" s="34">
        <f>40+40+40</f>
        <v>120</v>
      </c>
      <c r="K100" s="60">
        <v>0</v>
      </c>
      <c r="M100" s="11">
        <f t="shared" si="6"/>
        <v>210</v>
      </c>
    </row>
    <row r="101" spans="1:13" ht="15.75" x14ac:dyDescent="0.3">
      <c r="A101" s="128" t="s">
        <v>94</v>
      </c>
      <c r="B101" s="9"/>
      <c r="C101" s="1">
        <v>0</v>
      </c>
      <c r="E101" s="34">
        <f>30+91.6+1909.2</f>
        <v>2030.8</v>
      </c>
      <c r="G101" s="34">
        <v>0</v>
      </c>
      <c r="I101" s="34">
        <f>313.65</f>
        <v>313.64999999999998</v>
      </c>
      <c r="K101" s="60">
        <v>0</v>
      </c>
      <c r="M101" s="11">
        <f t="shared" si="6"/>
        <v>2344.4499999999998</v>
      </c>
    </row>
    <row r="102" spans="1:13" ht="15.75" x14ac:dyDescent="0.3">
      <c r="A102" s="128" t="s">
        <v>95</v>
      </c>
      <c r="B102" s="9"/>
      <c r="C102" s="1">
        <v>0</v>
      </c>
      <c r="E102" s="34">
        <f>1739.5+990</f>
        <v>2729.5</v>
      </c>
      <c r="G102" s="34">
        <f>150+330</f>
        <v>480</v>
      </c>
      <c r="I102" s="34">
        <v>0</v>
      </c>
      <c r="K102" s="60">
        <v>0</v>
      </c>
      <c r="M102" s="11">
        <f t="shared" si="6"/>
        <v>3209.5</v>
      </c>
    </row>
    <row r="103" spans="1:13" ht="15.75" x14ac:dyDescent="0.3">
      <c r="A103" s="128" t="s">
        <v>96</v>
      </c>
      <c r="B103" s="9"/>
      <c r="C103" s="1">
        <v>0</v>
      </c>
      <c r="E103" s="34"/>
      <c r="G103" s="34">
        <v>0</v>
      </c>
      <c r="I103" s="34">
        <v>0</v>
      </c>
      <c r="K103" s="60">
        <v>0</v>
      </c>
      <c r="M103" s="11">
        <f t="shared" si="6"/>
        <v>0</v>
      </c>
    </row>
    <row r="104" spans="1:13" ht="15.75" x14ac:dyDescent="0.3">
      <c r="A104" s="128" t="s">
        <v>97</v>
      </c>
      <c r="B104" s="9"/>
      <c r="C104" s="1">
        <v>0</v>
      </c>
      <c r="E104" s="34">
        <f>16+42.5+14.9+14.9+26.19</f>
        <v>114.49000000000001</v>
      </c>
      <c r="G104" s="34">
        <f>89</f>
        <v>89</v>
      </c>
      <c r="I104" s="34">
        <f>83</f>
        <v>83</v>
      </c>
      <c r="K104" s="60">
        <v>0</v>
      </c>
      <c r="M104" s="11">
        <f t="shared" si="6"/>
        <v>286.49</v>
      </c>
    </row>
    <row r="105" spans="1:13" ht="15.75" x14ac:dyDescent="0.3">
      <c r="A105" s="128" t="s">
        <v>98</v>
      </c>
      <c r="B105" s="9"/>
      <c r="C105" s="1">
        <v>0</v>
      </c>
      <c r="E105" s="34">
        <f>2916.7</f>
        <v>2916.7</v>
      </c>
      <c r="G105" s="34">
        <f>603</f>
        <v>603</v>
      </c>
      <c r="I105" s="34">
        <f>120+1276.44</f>
        <v>1396.44</v>
      </c>
      <c r="K105" s="60">
        <v>0</v>
      </c>
      <c r="M105" s="11">
        <f t="shared" si="6"/>
        <v>4916.1399999999994</v>
      </c>
    </row>
    <row r="106" spans="1:13" ht="15.75" x14ac:dyDescent="0.3">
      <c r="A106" s="128" t="s">
        <v>99</v>
      </c>
      <c r="B106" s="9"/>
      <c r="C106" s="1">
        <v>0</v>
      </c>
      <c r="E106" s="34">
        <v>0</v>
      </c>
      <c r="G106" s="34">
        <v>0</v>
      </c>
      <c r="I106" s="34">
        <v>0</v>
      </c>
      <c r="K106" s="60">
        <v>0</v>
      </c>
      <c r="M106" s="11">
        <f t="shared" si="6"/>
        <v>0</v>
      </c>
    </row>
    <row r="107" spans="1:13" ht="15.75" x14ac:dyDescent="0.3">
      <c r="A107" s="128" t="s">
        <v>183</v>
      </c>
      <c r="B107" s="9"/>
      <c r="C107" s="1">
        <v>0</v>
      </c>
      <c r="E107" s="34">
        <v>0</v>
      </c>
      <c r="G107" s="34">
        <f>2511.29</f>
        <v>2511.29</v>
      </c>
      <c r="I107" s="34">
        <f>1607.25</f>
        <v>1607.25</v>
      </c>
      <c r="K107" s="60">
        <v>0</v>
      </c>
      <c r="M107" s="11">
        <f t="shared" si="6"/>
        <v>4118.54</v>
      </c>
    </row>
    <row r="108" spans="1:13" ht="16.5" x14ac:dyDescent="0.3">
      <c r="A108" s="106" t="s">
        <v>196</v>
      </c>
      <c r="B108" s="9"/>
      <c r="C108" s="1">
        <v>0</v>
      </c>
      <c r="E108" s="34">
        <f>2191.14</f>
        <v>2191.14</v>
      </c>
      <c r="G108" s="34">
        <f>378.98</f>
        <v>378.98</v>
      </c>
      <c r="I108" s="34">
        <f>971.67</f>
        <v>971.67</v>
      </c>
      <c r="K108" s="60">
        <v>0</v>
      </c>
      <c r="M108" s="11">
        <f t="shared" si="6"/>
        <v>3541.79</v>
      </c>
    </row>
    <row r="109" spans="1:13" ht="15.75" x14ac:dyDescent="0.3">
      <c r="A109" s="128" t="s">
        <v>100</v>
      </c>
      <c r="B109" s="9"/>
      <c r="C109" s="1">
        <f>773+240+621.3</f>
        <v>1634.3</v>
      </c>
      <c r="E109" s="34">
        <f>132.57</f>
        <v>132.57</v>
      </c>
      <c r="G109" s="34">
        <v>0</v>
      </c>
      <c r="I109" s="34">
        <f>66.7</f>
        <v>66.7</v>
      </c>
      <c r="K109" s="60">
        <f>409</f>
        <v>409</v>
      </c>
      <c r="M109" s="11">
        <f t="shared" si="6"/>
        <v>2242.5699999999997</v>
      </c>
    </row>
    <row r="110" spans="1:13" ht="15.75" x14ac:dyDescent="0.3">
      <c r="A110" s="128" t="s">
        <v>101</v>
      </c>
      <c r="B110" s="9"/>
      <c r="C110" s="1">
        <f>600</f>
        <v>600</v>
      </c>
      <c r="E110" s="34">
        <f>621+600</f>
        <v>1221</v>
      </c>
      <c r="G110" s="34">
        <f>1221</f>
        <v>1221</v>
      </c>
      <c r="I110" s="34">
        <f>621</f>
        <v>621</v>
      </c>
      <c r="K110" s="60">
        <f>621</f>
        <v>621</v>
      </c>
      <c r="M110" s="11">
        <f t="shared" si="6"/>
        <v>4284</v>
      </c>
    </row>
    <row r="111" spans="1:13" ht="15.75" x14ac:dyDescent="0.3">
      <c r="A111" s="128" t="s">
        <v>102</v>
      </c>
      <c r="B111" s="9"/>
      <c r="C111" s="1">
        <v>0</v>
      </c>
      <c r="E111" s="34">
        <v>0</v>
      </c>
      <c r="G111" s="34">
        <v>0</v>
      </c>
      <c r="I111" s="34">
        <v>0</v>
      </c>
      <c r="K111" s="60">
        <v>0</v>
      </c>
      <c r="M111" s="11">
        <f t="shared" si="6"/>
        <v>0</v>
      </c>
    </row>
    <row r="112" spans="1:13" ht="15.75" x14ac:dyDescent="0.3">
      <c r="A112" s="128" t="s">
        <v>103</v>
      </c>
      <c r="B112" s="9"/>
      <c r="C112" s="1">
        <v>0</v>
      </c>
      <c r="E112" s="34">
        <v>0</v>
      </c>
      <c r="G112" s="34">
        <v>0</v>
      </c>
      <c r="I112" s="34">
        <f>1178.32</f>
        <v>1178.32</v>
      </c>
      <c r="K112" s="60">
        <f>1150+30.6</f>
        <v>1180.5999999999999</v>
      </c>
      <c r="M112" s="11">
        <f t="shared" si="6"/>
        <v>2358.92</v>
      </c>
    </row>
    <row r="113" spans="1:15" ht="15.75" x14ac:dyDescent="0.3">
      <c r="A113" s="128" t="s">
        <v>182</v>
      </c>
      <c r="B113" s="9"/>
      <c r="C113" s="1">
        <f>625+460</f>
        <v>1085</v>
      </c>
      <c r="E113" s="34">
        <f>458.5+625</f>
        <v>1083.5</v>
      </c>
      <c r="G113" s="34">
        <f>458.5+625</f>
        <v>1083.5</v>
      </c>
      <c r="I113" s="34">
        <f>458.5+625</f>
        <v>1083.5</v>
      </c>
      <c r="K113" s="60">
        <v>0</v>
      </c>
      <c r="M113" s="11">
        <f t="shared" si="6"/>
        <v>4335.5</v>
      </c>
    </row>
    <row r="114" spans="1:15" ht="15.75" x14ac:dyDescent="0.3">
      <c r="A114" s="128" t="s">
        <v>104</v>
      </c>
      <c r="B114" s="9"/>
      <c r="C114" s="1">
        <v>0</v>
      </c>
      <c r="E114" s="34">
        <v>0</v>
      </c>
      <c r="G114" s="34">
        <v>0</v>
      </c>
      <c r="I114" s="34">
        <v>0</v>
      </c>
      <c r="K114" s="60">
        <v>0</v>
      </c>
      <c r="M114" s="11">
        <f t="shared" si="6"/>
        <v>0</v>
      </c>
    </row>
    <row r="115" spans="1:15" ht="15.75" x14ac:dyDescent="0.3">
      <c r="A115" s="128" t="s">
        <v>105</v>
      </c>
      <c r="B115" s="9"/>
      <c r="C115" s="1">
        <v>0</v>
      </c>
      <c r="E115" s="34">
        <v>0</v>
      </c>
      <c r="G115" s="34">
        <v>0</v>
      </c>
      <c r="I115" s="34">
        <v>0</v>
      </c>
      <c r="K115" s="60">
        <f>330</f>
        <v>330</v>
      </c>
      <c r="M115" s="11">
        <f t="shared" si="6"/>
        <v>330</v>
      </c>
    </row>
    <row r="116" spans="1:15" ht="15.75" x14ac:dyDescent="0.3">
      <c r="A116" s="128" t="s">
        <v>83</v>
      </c>
      <c r="B116" s="9"/>
      <c r="C116" s="1">
        <v>0</v>
      </c>
      <c r="E116" s="34">
        <v>0</v>
      </c>
      <c r="G116" s="34">
        <v>0</v>
      </c>
      <c r="I116" s="34">
        <v>0</v>
      </c>
      <c r="K116" s="60">
        <v>0</v>
      </c>
      <c r="M116" s="11">
        <f t="shared" si="6"/>
        <v>0</v>
      </c>
    </row>
    <row r="117" spans="1:15" ht="15.75" x14ac:dyDescent="0.3">
      <c r="A117" s="130" t="s">
        <v>67</v>
      </c>
      <c r="B117" s="9"/>
      <c r="C117" s="1">
        <v>0</v>
      </c>
      <c r="E117" s="34">
        <f>924</f>
        <v>924</v>
      </c>
      <c r="G117" s="34">
        <v>0</v>
      </c>
      <c r="I117" s="34">
        <v>0</v>
      </c>
      <c r="K117" s="60">
        <v>0</v>
      </c>
      <c r="M117" s="11">
        <f t="shared" si="6"/>
        <v>924</v>
      </c>
    </row>
    <row r="118" spans="1:15" ht="15.75" x14ac:dyDescent="0.3">
      <c r="A118" s="128" t="s">
        <v>61</v>
      </c>
      <c r="B118" s="9"/>
      <c r="C118" s="1">
        <v>0</v>
      </c>
      <c r="E118" s="34">
        <v>0</v>
      </c>
      <c r="G118" s="34">
        <v>0</v>
      </c>
      <c r="I118" s="34">
        <v>0</v>
      </c>
      <c r="K118" s="60">
        <v>0</v>
      </c>
      <c r="M118" s="11">
        <f t="shared" si="6"/>
        <v>0</v>
      </c>
    </row>
    <row r="119" spans="1:15" ht="15.75" x14ac:dyDescent="0.3">
      <c r="A119" s="130" t="s">
        <v>72</v>
      </c>
      <c r="B119" s="9"/>
      <c r="C119" s="1">
        <v>0</v>
      </c>
      <c r="E119" s="34">
        <v>0</v>
      </c>
      <c r="G119" s="34">
        <v>0</v>
      </c>
      <c r="I119" s="34">
        <v>0</v>
      </c>
      <c r="K119" s="60">
        <v>0</v>
      </c>
      <c r="M119" s="11">
        <f t="shared" si="6"/>
        <v>0</v>
      </c>
    </row>
    <row r="120" spans="1:15" ht="15.75" x14ac:dyDescent="0.3">
      <c r="A120" s="128" t="s">
        <v>73</v>
      </c>
      <c r="B120" s="9"/>
      <c r="C120" s="1">
        <v>0</v>
      </c>
      <c r="E120" s="34">
        <v>0</v>
      </c>
      <c r="G120" s="34">
        <v>0</v>
      </c>
      <c r="I120" s="34">
        <v>0</v>
      </c>
      <c r="K120" s="60">
        <v>0</v>
      </c>
      <c r="M120" s="11">
        <f t="shared" si="6"/>
        <v>0</v>
      </c>
    </row>
    <row r="121" spans="1:15" ht="15.75" x14ac:dyDescent="0.3">
      <c r="A121" s="128" t="s">
        <v>74</v>
      </c>
      <c r="B121" s="9"/>
      <c r="C121" s="1">
        <v>0</v>
      </c>
      <c r="E121" s="34">
        <v>0</v>
      </c>
      <c r="G121" s="34">
        <v>0</v>
      </c>
      <c r="I121" s="34">
        <v>0</v>
      </c>
      <c r="K121" s="60">
        <v>0</v>
      </c>
      <c r="M121" s="11">
        <f t="shared" si="6"/>
        <v>0</v>
      </c>
    </row>
    <row r="122" spans="1:15" ht="15.75" x14ac:dyDescent="0.3">
      <c r="A122" s="130" t="s">
        <v>75</v>
      </c>
      <c r="B122" s="9"/>
      <c r="C122" s="1">
        <v>0</v>
      </c>
      <c r="E122" s="34">
        <v>0</v>
      </c>
      <c r="G122" s="34">
        <v>0</v>
      </c>
      <c r="I122" s="34">
        <v>0</v>
      </c>
      <c r="K122" s="60">
        <v>0</v>
      </c>
      <c r="M122" s="11">
        <f t="shared" si="6"/>
        <v>0</v>
      </c>
    </row>
    <row r="123" spans="1:15" ht="15.75" x14ac:dyDescent="0.3">
      <c r="A123" s="130" t="s">
        <v>119</v>
      </c>
      <c r="B123" s="9"/>
      <c r="C123" s="1">
        <v>0</v>
      </c>
      <c r="E123" s="34">
        <f>4515.32</f>
        <v>4515.32</v>
      </c>
      <c r="G123" s="34">
        <v>0</v>
      </c>
      <c r="I123" s="34">
        <v>0</v>
      </c>
      <c r="K123" s="60">
        <f>1969.94+9989.64</f>
        <v>11959.58</v>
      </c>
      <c r="M123" s="11">
        <f t="shared" si="6"/>
        <v>16474.900000000001</v>
      </c>
    </row>
    <row r="124" spans="1:15" ht="15.75" x14ac:dyDescent="0.3">
      <c r="A124" s="130" t="s">
        <v>195</v>
      </c>
      <c r="B124" s="9"/>
      <c r="C124" s="1">
        <v>0</v>
      </c>
      <c r="E124" s="34">
        <f>1727.95</f>
        <v>1727.95</v>
      </c>
      <c r="G124" s="34">
        <f>1176.43</f>
        <v>1176.43</v>
      </c>
      <c r="I124" s="34">
        <f>1249.61</f>
        <v>1249.6099999999999</v>
      </c>
      <c r="K124" s="60">
        <f>1246.7</f>
        <v>1246.7</v>
      </c>
      <c r="M124" s="11">
        <f t="shared" si="6"/>
        <v>5400.69</v>
      </c>
    </row>
    <row r="125" spans="1:15" ht="15.75" x14ac:dyDescent="0.3">
      <c r="A125" s="128" t="s">
        <v>63</v>
      </c>
      <c r="B125" s="9"/>
      <c r="C125" s="1">
        <f>368.32+366.76+258.54+668.43+504.73+311.87+1000.25+153.69</f>
        <v>3632.5899999999997</v>
      </c>
      <c r="E125" s="34">
        <f>362.15+362.15+368.32+366.76+258.54+504.73+1000.25</f>
        <v>3222.8999999999996</v>
      </c>
      <c r="G125" s="34">
        <f>1000.25+366.76+258.54+668.43+635.01+362.15+153.69</f>
        <v>3444.83</v>
      </c>
      <c r="I125" s="34">
        <f>368.32+362.15+153.69+504.73+701.85</f>
        <v>2090.7400000000002</v>
      </c>
      <c r="K125" s="60">
        <f>668.43+311.87+362.15+1000.25+1000.25</f>
        <v>3342.95</v>
      </c>
      <c r="M125" s="11">
        <f t="shared" si="6"/>
        <v>15734.009999999998</v>
      </c>
    </row>
    <row r="126" spans="1:15" ht="15.75" x14ac:dyDescent="0.3">
      <c r="A126" s="134" t="s">
        <v>32</v>
      </c>
      <c r="B126" s="32"/>
      <c r="C126" s="81">
        <f>SUM(C92:C125)</f>
        <v>12743.25</v>
      </c>
      <c r="D126" s="32"/>
      <c r="E126" s="81">
        <f>SUM(E92:E125)</f>
        <v>45134.61</v>
      </c>
      <c r="F126" s="32"/>
      <c r="G126" s="81">
        <f>SUM(G92:G125)</f>
        <v>21224.1</v>
      </c>
      <c r="H126" s="32"/>
      <c r="I126" s="81">
        <f>SUM(I92:I125)</f>
        <v>22819.210000000003</v>
      </c>
      <c r="J126" s="32"/>
      <c r="K126" s="81">
        <f>SUM(K92:K125)</f>
        <v>27504.100000000002</v>
      </c>
      <c r="L126" s="32"/>
      <c r="M126" s="79">
        <f>SUM(C126+E126+G126+I126+K126)</f>
        <v>129425.27</v>
      </c>
    </row>
    <row r="127" spans="1:15" ht="15.75" x14ac:dyDescent="0.3">
      <c r="A127" s="127" t="s">
        <v>76</v>
      </c>
      <c r="B127" s="9"/>
      <c r="C127" s="1"/>
      <c r="E127" s="34"/>
      <c r="G127" s="34"/>
      <c r="I127" s="34"/>
      <c r="K127" s="60"/>
      <c r="M127" s="76"/>
    </row>
    <row r="128" spans="1:15" ht="15.75" x14ac:dyDescent="0.3">
      <c r="A128" s="130" t="s">
        <v>123</v>
      </c>
      <c r="B128" s="9"/>
      <c r="C128" s="1">
        <v>0</v>
      </c>
      <c r="E128" s="34">
        <f>1594.59</f>
        <v>1594.59</v>
      </c>
      <c r="G128" s="34">
        <f>1205.67</f>
        <v>1205.67</v>
      </c>
      <c r="I128" s="34">
        <f>293.43</f>
        <v>293.43</v>
      </c>
      <c r="K128" s="60">
        <f>242.72</f>
        <v>242.72</v>
      </c>
      <c r="M128" s="11">
        <f>SUM(C128+E128+G128+I128+K128)</f>
        <v>3336.41</v>
      </c>
      <c r="N128" s="160">
        <v>11507.24</v>
      </c>
      <c r="O128" s="160">
        <v>9501.8700000000008</v>
      </c>
    </row>
    <row r="129" spans="1:15" ht="15.75" x14ac:dyDescent="0.3">
      <c r="A129" s="130" t="s">
        <v>124</v>
      </c>
      <c r="B129" s="9"/>
      <c r="C129" s="1">
        <v>0</v>
      </c>
      <c r="E129" s="34">
        <f>1413.35+336.74+140.48+268.91+5369.03+403.67+172.24+900.67+136.47+147.85+72.7+30.35+97.45+153.26</f>
        <v>9643.1700000000019</v>
      </c>
      <c r="G129" s="34">
        <f>173.81+1060.79+81.84+751.64+97.59+79.09+61.47+120.51+59.22+109.86+292.38+19.05+20.24+112.69+20.24+74.51+14.3</f>
        <v>3149.2300000000005</v>
      </c>
      <c r="I129" s="34">
        <f>932+219.38+138.85+752.88</f>
        <v>2043.1100000000001</v>
      </c>
      <c r="K129" s="60">
        <f>740+22.6+667.6+71.48+113.15+129.82+45.53+75.52+5.94+80.79+50.8+250.74+100.95+783.5+1386.92+185.97+305.66+762.6</f>
        <v>5779.5700000000006</v>
      </c>
      <c r="M129" s="11">
        <f t="shared" ref="M129:M132" si="8">SUM(C129+E129+G129+I129+K129)</f>
        <v>20615.080000000002</v>
      </c>
      <c r="N129" s="160"/>
      <c r="O129" s="160"/>
    </row>
    <row r="130" spans="1:15" ht="15.75" x14ac:dyDescent="0.3">
      <c r="A130" s="130" t="s">
        <v>128</v>
      </c>
      <c r="B130" s="9"/>
      <c r="C130" s="1">
        <f>354.26</f>
        <v>354.26</v>
      </c>
      <c r="E130" s="34">
        <v>0</v>
      </c>
      <c r="G130" s="34">
        <f>736.17</f>
        <v>736.17</v>
      </c>
      <c r="I130" s="34">
        <f>608.83</f>
        <v>608.83000000000004</v>
      </c>
      <c r="K130" s="60">
        <f>534.21</f>
        <v>534.21</v>
      </c>
      <c r="M130" s="11">
        <f t="shared" si="8"/>
        <v>2233.4699999999998</v>
      </c>
      <c r="N130" s="160"/>
      <c r="O130" s="160">
        <f>SUM(N128-O128)</f>
        <v>2005.369999999999</v>
      </c>
    </row>
    <row r="131" spans="1:15" ht="15.75" x14ac:dyDescent="0.3">
      <c r="A131" s="130" t="s">
        <v>125</v>
      </c>
      <c r="B131" s="9"/>
      <c r="C131" s="1">
        <v>0</v>
      </c>
      <c r="E131" s="34">
        <f>46.68+22.9+21.06+4.95</f>
        <v>95.59</v>
      </c>
      <c r="G131" s="34">
        <f>4.95+24.75+4.95+34.39+13.67</f>
        <v>82.71</v>
      </c>
      <c r="I131" s="34">
        <v>0</v>
      </c>
      <c r="K131" s="60">
        <f>4.95+305.66</f>
        <v>310.61</v>
      </c>
      <c r="M131" s="11">
        <f t="shared" si="8"/>
        <v>488.91</v>
      </c>
      <c r="N131" s="160">
        <v>746.45</v>
      </c>
      <c r="O131" s="160">
        <v>601.71</v>
      </c>
    </row>
    <row r="132" spans="1:15" ht="15.75" x14ac:dyDescent="0.3">
      <c r="A132" s="130" t="s">
        <v>126</v>
      </c>
      <c r="B132" s="9"/>
      <c r="C132" s="1">
        <v>0</v>
      </c>
      <c r="E132" s="34">
        <f>5.73+69+91.98+116.73+161.2+10.12+2.43</f>
        <v>457.19</v>
      </c>
      <c r="G132" s="34">
        <f>103.27+7.69</f>
        <v>110.96</v>
      </c>
      <c r="I132" s="34">
        <f>17.7+15+4.5</f>
        <v>37.200000000000003</v>
      </c>
      <c r="K132" s="60">
        <f>97.79+24.31+131.8</f>
        <v>253.90000000000003</v>
      </c>
      <c r="M132" s="11">
        <f t="shared" si="8"/>
        <v>859.25</v>
      </c>
    </row>
    <row r="133" spans="1:15" ht="15.75" x14ac:dyDescent="0.3">
      <c r="A133" s="134" t="s">
        <v>32</v>
      </c>
      <c r="B133" s="32"/>
      <c r="C133" s="81">
        <f>SUM(C128:C132)</f>
        <v>354.26</v>
      </c>
      <c r="D133" s="32"/>
      <c r="E133" s="81">
        <f>SUM(E128:E132)</f>
        <v>11790.540000000003</v>
      </c>
      <c r="F133" s="32"/>
      <c r="G133" s="81">
        <f>SUM(G128:G132)</f>
        <v>5284.7400000000007</v>
      </c>
      <c r="H133" s="32"/>
      <c r="I133" s="81">
        <f>SUM(I128:I132)</f>
        <v>2982.5699999999997</v>
      </c>
      <c r="J133" s="32"/>
      <c r="K133" s="81">
        <f>SUM(K128:K132)</f>
        <v>7121.01</v>
      </c>
      <c r="L133" s="32"/>
      <c r="M133" s="79">
        <f>SUM(C133+E133+G133+I133+K133)</f>
        <v>27533.120000000003</v>
      </c>
      <c r="O133">
        <f>SUM(N131-O131)</f>
        <v>144.74</v>
      </c>
    </row>
    <row r="134" spans="1:15" ht="15.75" x14ac:dyDescent="0.3">
      <c r="A134" s="127" t="s">
        <v>152</v>
      </c>
      <c r="B134" s="9"/>
      <c r="C134" s="14"/>
      <c r="E134" s="69"/>
      <c r="G134" s="69"/>
      <c r="I134" s="69"/>
      <c r="K134" s="60"/>
      <c r="M134" s="76"/>
    </row>
    <row r="135" spans="1:15" ht="15.75" x14ac:dyDescent="0.3">
      <c r="A135" s="130" t="s">
        <v>140</v>
      </c>
      <c r="B135" s="9"/>
      <c r="C135" s="1">
        <f>1570.15+1384.78</f>
        <v>2954.9300000000003</v>
      </c>
      <c r="E135" s="34">
        <f>2074.74+539.82+145.56+162.16</f>
        <v>2922.2799999999997</v>
      </c>
      <c r="G135" s="34">
        <f>619.19+607.85+34.87+138.17+241.85</f>
        <v>1641.9299999999998</v>
      </c>
      <c r="I135" s="34">
        <f>613.54+25.58+17.72+39.92</f>
        <v>696.76</v>
      </c>
      <c r="K135" s="60">
        <f>296.76+159.31+165.6</f>
        <v>621.66999999999996</v>
      </c>
      <c r="M135" s="11">
        <f>SUM(C135+E135+G135+I135+K135)</f>
        <v>8837.57</v>
      </c>
      <c r="N135">
        <v>5059.95</v>
      </c>
      <c r="O135">
        <v>3032.8</v>
      </c>
    </row>
    <row r="136" spans="1:15" ht="15.75" x14ac:dyDescent="0.3">
      <c r="A136" s="130" t="s">
        <v>141</v>
      </c>
      <c r="B136" s="9"/>
      <c r="C136" s="1">
        <f>1440.39</f>
        <v>1440.39</v>
      </c>
      <c r="E136" s="34">
        <f>495.74</f>
        <v>495.74</v>
      </c>
      <c r="G136" s="34">
        <v>0</v>
      </c>
      <c r="I136" s="34">
        <f>144+1570.37</f>
        <v>1714.37</v>
      </c>
      <c r="K136" s="60">
        <v>0</v>
      </c>
      <c r="M136" s="11">
        <f t="shared" ref="M136:M137" si="9">SUM(C136+E136+G136+I136+K136)</f>
        <v>3650.5</v>
      </c>
    </row>
    <row r="137" spans="1:15" ht="15.75" x14ac:dyDescent="0.3">
      <c r="A137" s="130" t="s">
        <v>78</v>
      </c>
      <c r="B137" s="9"/>
      <c r="C137" s="1">
        <v>0</v>
      </c>
      <c r="E137" s="34">
        <v>0</v>
      </c>
      <c r="G137" s="34">
        <v>0</v>
      </c>
      <c r="I137" s="34">
        <v>0</v>
      </c>
      <c r="K137" s="60">
        <v>0</v>
      </c>
      <c r="M137" s="11">
        <f t="shared" si="9"/>
        <v>0</v>
      </c>
    </row>
    <row r="138" spans="1:15" ht="15.75" x14ac:dyDescent="0.3">
      <c r="A138" s="130"/>
      <c r="B138" s="32"/>
      <c r="C138" s="81">
        <f>SUM(C135:C137)</f>
        <v>4395.3200000000006</v>
      </c>
      <c r="D138" s="32"/>
      <c r="E138" s="81">
        <f>SUM(E135:E137)</f>
        <v>3418.0199999999995</v>
      </c>
      <c r="F138" s="32"/>
      <c r="G138" s="81">
        <f>SUM(G135:G137)</f>
        <v>1641.9299999999998</v>
      </c>
      <c r="H138" s="32"/>
      <c r="I138" s="81">
        <f>SUM(I135:I137)</f>
        <v>2411.13</v>
      </c>
      <c r="J138" s="32"/>
      <c r="K138" s="81">
        <f>SUM(K135:K136)</f>
        <v>621.66999999999996</v>
      </c>
      <c r="L138" s="32"/>
      <c r="M138" s="79">
        <f>SUM(C138+E138+G138+I138+K138)</f>
        <v>12488.070000000002</v>
      </c>
      <c r="O138">
        <f>SUM(N135-O135)</f>
        <v>2027.1499999999996</v>
      </c>
    </row>
    <row r="139" spans="1:15" ht="15.75" x14ac:dyDescent="0.3">
      <c r="A139" s="130"/>
      <c r="B139" s="32"/>
      <c r="C139" s="69"/>
      <c r="D139" s="32"/>
      <c r="E139" s="69"/>
      <c r="F139" s="32"/>
      <c r="G139" s="69"/>
      <c r="H139" s="32"/>
      <c r="I139" s="69"/>
      <c r="J139" s="32"/>
      <c r="K139" s="69"/>
      <c r="L139" s="32"/>
      <c r="M139" s="76"/>
    </row>
    <row r="140" spans="1:15" ht="16.5" x14ac:dyDescent="0.3">
      <c r="A140" s="127" t="s">
        <v>127</v>
      </c>
      <c r="B140" s="9"/>
      <c r="C140" s="1"/>
      <c r="E140" s="34">
        <v>10005.780000000001</v>
      </c>
      <c r="G140" s="34"/>
      <c r="I140" s="34"/>
      <c r="K140" s="60"/>
      <c r="M140" s="93">
        <v>3</v>
      </c>
    </row>
    <row r="141" spans="1:15" ht="15.75" x14ac:dyDescent="0.3">
      <c r="A141" s="130" t="s">
        <v>226</v>
      </c>
      <c r="B141" s="9"/>
      <c r="C141" s="1">
        <f>418.33+672.21+2803.05+983.04+618.78+329.6+288.96+689.75+261.17+252+180+779.4+206.42</f>
        <v>8482.7100000000009</v>
      </c>
      <c r="E141" s="34">
        <v>10005.780000000001</v>
      </c>
      <c r="G141" s="34">
        <f>4012.93+171.5+577.92+1737.88+1762.97+3375.76+3430.31</f>
        <v>15069.27</v>
      </c>
      <c r="I141" s="34">
        <f>34.93+6.85+9.98+2754.44</f>
        <v>2806.2000000000003</v>
      </c>
      <c r="K141" s="60">
        <f>5456.74+87.52+5354.02+17.85</f>
        <v>10916.130000000001</v>
      </c>
      <c r="M141" s="11">
        <f>SUM(C141+E141+G141+I141+K141)</f>
        <v>47280.09</v>
      </c>
      <c r="N141" s="159">
        <v>27325.05</v>
      </c>
      <c r="O141" s="160">
        <v>15747.33</v>
      </c>
    </row>
    <row r="142" spans="1:15" ht="15.75" x14ac:dyDescent="0.3">
      <c r="A142" s="130" t="s">
        <v>234</v>
      </c>
      <c r="B142" s="9"/>
      <c r="C142" s="1">
        <v>0</v>
      </c>
      <c r="E142" s="34">
        <f>2250</f>
        <v>2250</v>
      </c>
      <c r="G142" s="34">
        <v>0</v>
      </c>
      <c r="I142" s="34">
        <f>2025</f>
        <v>2025</v>
      </c>
      <c r="K142" s="60">
        <v>0</v>
      </c>
      <c r="M142" s="11">
        <f t="shared" ref="M142" si="10">SUM(C142+E142+G142+I142+K142)</f>
        <v>4275</v>
      </c>
      <c r="N142" s="160"/>
      <c r="O142" s="160"/>
    </row>
    <row r="143" spans="1:15" ht="15.75" x14ac:dyDescent="0.3">
      <c r="A143" s="134" t="s">
        <v>32</v>
      </c>
      <c r="B143" s="32"/>
      <c r="C143" s="81">
        <f>SUM(C141:C142)</f>
        <v>8482.7100000000009</v>
      </c>
      <c r="D143" s="32"/>
      <c r="E143" s="81">
        <f>SUM(E141:E142)</f>
        <v>12255.78</v>
      </c>
      <c r="F143" s="32"/>
      <c r="G143" s="81">
        <f>SUM(G141:G142)</f>
        <v>15069.27</v>
      </c>
      <c r="H143" s="32"/>
      <c r="I143" s="81">
        <f>SUM(I141:I142)</f>
        <v>4831.2000000000007</v>
      </c>
      <c r="J143" s="32"/>
      <c r="K143" s="81">
        <f>SUM(K141:K142)</f>
        <v>10916.130000000001</v>
      </c>
      <c r="L143" s="32"/>
      <c r="M143" s="79">
        <f>SUM(C143+E143+G143+I143+K143)</f>
        <v>51555.090000000011</v>
      </c>
      <c r="N143" s="160"/>
      <c r="O143" s="159">
        <f>SUM(N141-O141)</f>
        <v>11577.72</v>
      </c>
    </row>
    <row r="144" spans="1:15" ht="15.75" x14ac:dyDescent="0.3">
      <c r="A144" s="127" t="s">
        <v>154</v>
      </c>
      <c r="B144" s="9"/>
      <c r="C144" s="1"/>
      <c r="E144" s="34"/>
      <c r="G144" s="34"/>
      <c r="I144" s="34"/>
      <c r="K144" s="60"/>
      <c r="M144" s="76"/>
    </row>
    <row r="145" spans="1:13" ht="15.75" x14ac:dyDescent="0.3">
      <c r="A145" s="130" t="s">
        <v>80</v>
      </c>
      <c r="B145" s="9"/>
      <c r="C145" s="1">
        <v>0</v>
      </c>
      <c r="E145" s="34">
        <f>800+90+340</f>
        <v>1230</v>
      </c>
      <c r="G145" s="34">
        <v>0</v>
      </c>
      <c r="I145" s="34">
        <f>291.78+516</f>
        <v>807.78</v>
      </c>
      <c r="K145" s="60">
        <v>0</v>
      </c>
      <c r="M145" s="11">
        <f>SUM(C145+E145+G145+I145+K145)</f>
        <v>2037.78</v>
      </c>
    </row>
    <row r="146" spans="1:13" ht="15.75" x14ac:dyDescent="0.3">
      <c r="A146" s="130" t="s">
        <v>79</v>
      </c>
      <c r="B146" s="9"/>
      <c r="C146" s="1">
        <f>833+200+60+14</f>
        <v>1107</v>
      </c>
      <c r="E146" s="34">
        <f>300+1754.36</f>
        <v>2054.3599999999997</v>
      </c>
      <c r="G146" s="34">
        <f>250+291</f>
        <v>541</v>
      </c>
      <c r="I146" s="34">
        <f>47.94+7.48</f>
        <v>55.42</v>
      </c>
      <c r="K146" s="60">
        <f>690.25</f>
        <v>690.25</v>
      </c>
      <c r="M146" s="11">
        <f t="shared" ref="M146:M148" si="11">SUM(C146+E146+G146+I146+K146)</f>
        <v>4448.03</v>
      </c>
    </row>
    <row r="147" spans="1:13" ht="15.75" x14ac:dyDescent="0.3">
      <c r="A147" s="128" t="s">
        <v>129</v>
      </c>
      <c r="B147" s="9"/>
      <c r="C147" s="1">
        <f>107</f>
        <v>107</v>
      </c>
      <c r="E147" s="34">
        <f>400</f>
        <v>400</v>
      </c>
      <c r="G147" s="34">
        <f>1700</f>
        <v>1700</v>
      </c>
      <c r="I147" s="34">
        <f>1700</f>
        <v>1700</v>
      </c>
      <c r="K147" s="60">
        <v>0</v>
      </c>
      <c r="M147" s="11">
        <f t="shared" si="11"/>
        <v>3907</v>
      </c>
    </row>
    <row r="148" spans="1:13" ht="15.75" x14ac:dyDescent="0.3">
      <c r="A148" s="128" t="s">
        <v>227</v>
      </c>
      <c r="B148" s="9"/>
      <c r="C148" s="1">
        <v>0</v>
      </c>
      <c r="E148" s="34">
        <v>0</v>
      </c>
      <c r="G148" s="34">
        <v>0</v>
      </c>
      <c r="I148" s="34">
        <v>1500</v>
      </c>
      <c r="K148" s="60">
        <v>1500</v>
      </c>
      <c r="M148" s="11">
        <f t="shared" si="11"/>
        <v>3000</v>
      </c>
    </row>
    <row r="149" spans="1:13" ht="15.75" x14ac:dyDescent="0.3">
      <c r="A149" s="134" t="s">
        <v>32</v>
      </c>
      <c r="B149" s="32"/>
      <c r="C149" s="81">
        <f>SUM(C145:C148)</f>
        <v>1214</v>
      </c>
      <c r="D149" s="32"/>
      <c r="E149" s="81">
        <f>SUM(E145:E148)</f>
        <v>3684.3599999999997</v>
      </c>
      <c r="F149" s="32"/>
      <c r="G149" s="81">
        <f>SUM(G145:G148)</f>
        <v>2241</v>
      </c>
      <c r="H149" s="32"/>
      <c r="I149" s="81">
        <f>SUM(I145:I148)</f>
        <v>4063.2</v>
      </c>
      <c r="J149" s="32"/>
      <c r="K149" s="81">
        <f>SUM(K145:K148)</f>
        <v>2190.25</v>
      </c>
      <c r="L149" s="32"/>
      <c r="M149" s="79">
        <f>SUM(C149+E149+G149+I149+K149)</f>
        <v>13392.81</v>
      </c>
    </row>
    <row r="150" spans="1:13" ht="15.75" x14ac:dyDescent="0.3">
      <c r="A150" s="127" t="s">
        <v>84</v>
      </c>
      <c r="B150" s="9"/>
      <c r="C150" s="34"/>
      <c r="D150" s="31"/>
      <c r="E150" s="34"/>
      <c r="F150" s="31"/>
      <c r="G150" s="34"/>
      <c r="H150" s="31"/>
      <c r="I150" s="34"/>
      <c r="J150" s="31"/>
      <c r="K150" s="78"/>
      <c r="L150" s="31"/>
      <c r="M150" s="76"/>
    </row>
    <row r="151" spans="1:13" ht="15.75" x14ac:dyDescent="0.3">
      <c r="A151" s="128" t="s">
        <v>85</v>
      </c>
      <c r="B151" s="9"/>
      <c r="C151" s="1">
        <f>13.55+29.9+6.63+40+13.55+6.63+4.2+22+21.5+64.6+53.09</f>
        <v>275.64999999999998</v>
      </c>
      <c r="E151" s="34">
        <f>21.9+5.76+29.9+13.55+7.09+2.1+22+3.4+3.78+61.2+52.05+106.5</f>
        <v>329.23</v>
      </c>
      <c r="G151" s="34">
        <f>4.2+22+57.8+52.46+29.9+40+13.55+21.9</f>
        <v>241.81000000000003</v>
      </c>
      <c r="I151" s="34">
        <f>20.3+41.4+1.7+22.1+4+6.8+1.7+2+1.7+0.85+2+0.85+66+0.85+29.9+6.45+4.2+2.55+12+0.85+0.85+0.85+13.6+16+1.7+22+0.85+2+2+2+1.7+2+2+2.55+2+1.7+0.85+2+38+27+0.85+2+2+0.85</f>
        <v>375.55</v>
      </c>
      <c r="K151" s="60">
        <f>21.9+41.4+2+0.85+2+2+2+2.55+2+2+2+2+8.39+5.57+7.71+29.9+40+0.85+4.2+0.85+121.62+2+2+2+2+2+2+2+2+2+2+2+1.7+29+2+2+2+2+0.85+0.85+2+2+2+2+2+44.2+35.27</f>
        <v>453.65999999999997</v>
      </c>
      <c r="M151" s="11">
        <f t="shared" ref="M151:M154" si="12">SUM(C151:K151)</f>
        <v>1675.9</v>
      </c>
    </row>
    <row r="152" spans="1:13" ht="15.75" x14ac:dyDescent="0.3">
      <c r="A152" s="128" t="s">
        <v>86</v>
      </c>
      <c r="B152" s="9"/>
      <c r="C152" s="1">
        <v>0</v>
      </c>
      <c r="E152" s="34">
        <v>0</v>
      </c>
      <c r="G152" s="34">
        <v>594.99</v>
      </c>
      <c r="I152" s="34">
        <v>0</v>
      </c>
      <c r="K152" s="60">
        <v>0</v>
      </c>
      <c r="M152" s="11">
        <f t="shared" si="12"/>
        <v>594.99</v>
      </c>
    </row>
    <row r="153" spans="1:13" ht="15.75" x14ac:dyDescent="0.3">
      <c r="A153" s="128" t="s">
        <v>200</v>
      </c>
      <c r="B153" s="9"/>
      <c r="C153" s="1">
        <v>0</v>
      </c>
      <c r="E153" s="34">
        <v>0</v>
      </c>
      <c r="G153" s="34">
        <f>258</f>
        <v>258</v>
      </c>
      <c r="I153" s="34">
        <v>0</v>
      </c>
      <c r="K153" s="60">
        <v>0</v>
      </c>
      <c r="M153" s="11">
        <f t="shared" si="12"/>
        <v>258</v>
      </c>
    </row>
    <row r="154" spans="1:13" ht="15.75" x14ac:dyDescent="0.3">
      <c r="A154" s="128" t="s">
        <v>87</v>
      </c>
      <c r="B154" s="9"/>
      <c r="C154" s="1">
        <f>274.34+900</f>
        <v>1174.3399999999999</v>
      </c>
      <c r="E154" s="34">
        <f>298.6</f>
        <v>298.60000000000002</v>
      </c>
      <c r="G154" s="34">
        <f>298.6</f>
        <v>298.60000000000002</v>
      </c>
      <c r="I154" s="34">
        <f>393.64</f>
        <v>393.64</v>
      </c>
      <c r="K154" s="60">
        <v>0</v>
      </c>
      <c r="M154" s="11">
        <f t="shared" si="12"/>
        <v>2165.1799999999998</v>
      </c>
    </row>
    <row r="155" spans="1:13" ht="15.75" x14ac:dyDescent="0.3">
      <c r="A155" s="134" t="s">
        <v>32</v>
      </c>
      <c r="B155" s="32"/>
      <c r="C155" s="81">
        <f>SUM(C150:C154)</f>
        <v>1449.9899999999998</v>
      </c>
      <c r="D155" s="32"/>
      <c r="E155" s="81">
        <f>SUM(E150:E154)</f>
        <v>627.83000000000004</v>
      </c>
      <c r="F155" s="32"/>
      <c r="G155" s="81">
        <f>SUM(G150:G154)</f>
        <v>1393.4</v>
      </c>
      <c r="H155" s="32"/>
      <c r="I155" s="81">
        <f>SUM(I150:I154)</f>
        <v>769.19</v>
      </c>
      <c r="J155" s="32"/>
      <c r="K155" s="81">
        <f>SUM(K150:K154)</f>
        <v>453.65999999999997</v>
      </c>
      <c r="L155" s="32"/>
      <c r="M155" s="79">
        <f>SUM(C155+E155+G155+I155+K155)</f>
        <v>4694.07</v>
      </c>
    </row>
    <row r="156" spans="1:13" s="31" customFormat="1" ht="15.75" x14ac:dyDescent="0.3">
      <c r="A156" s="118"/>
      <c r="B156" s="32"/>
      <c r="C156" s="69"/>
      <c r="D156" s="32"/>
      <c r="E156" s="69"/>
      <c r="F156" s="32"/>
      <c r="G156" s="69"/>
      <c r="H156" s="32"/>
      <c r="I156" s="69"/>
      <c r="J156" s="32"/>
      <c r="K156" s="69"/>
      <c r="L156" s="32"/>
      <c r="M156" s="76"/>
    </row>
    <row r="157" spans="1:13" ht="15.75" x14ac:dyDescent="0.3">
      <c r="A157" s="134" t="s">
        <v>32</v>
      </c>
      <c r="B157" s="32"/>
      <c r="C157" s="81">
        <f>SUM(C155+C149+C143+C138+C133+C126+C90+C83+C76+C73+C68+C60+C55)</f>
        <v>163049.38500000001</v>
      </c>
      <c r="D157" s="32"/>
      <c r="E157" s="81">
        <f>SUM(E155+E149+E143+E138+E133+E126+E90+E83+E76+E73+E68+E60+E55)</f>
        <v>284749.68000000005</v>
      </c>
      <c r="F157" s="32"/>
      <c r="G157" s="81">
        <f>SUM(G155+G149+G143+G138+G133+G126+G90+G83+G76+G73+G68+G60+G55)</f>
        <v>196832.12</v>
      </c>
      <c r="H157" s="32"/>
      <c r="I157" s="81">
        <f>SUM(I155+I149+I143+I138+I133+I126+I90+I83+I76+I73+I68+I60+I55)</f>
        <v>214929.69999999995</v>
      </c>
      <c r="J157" s="32"/>
      <c r="K157" s="81">
        <f>SUM(K155+K149+K143+K138+K133+K126+K90+K83+K76+K73+K68+K60+K55)</f>
        <v>233596.31000000003</v>
      </c>
      <c r="L157" s="32"/>
      <c r="M157" s="79">
        <f>SUM(M55+M60+M68+M73+M76+M83+M90+M126+M133+M138+M143+M149+M155)</f>
        <v>1093157.1950000003</v>
      </c>
    </row>
    <row r="158" spans="1:13" s="31" customFormat="1" ht="15.75" x14ac:dyDescent="0.3">
      <c r="A158" s="118"/>
      <c r="B158" s="32"/>
      <c r="C158" s="69"/>
      <c r="D158" s="32"/>
      <c r="E158" s="69"/>
      <c r="F158" s="32"/>
      <c r="G158" s="69"/>
      <c r="H158" s="32"/>
      <c r="I158" s="69"/>
      <c r="J158" s="32"/>
      <c r="K158" s="69"/>
      <c r="L158" s="32"/>
      <c r="M158" s="76"/>
    </row>
    <row r="159" spans="1:13" s="31" customFormat="1" ht="15.75" hidden="1" x14ac:dyDescent="0.3">
      <c r="A159" s="119" t="s">
        <v>176</v>
      </c>
      <c r="B159" s="32"/>
      <c r="C159" s="34"/>
      <c r="E159" s="34"/>
      <c r="G159" s="34"/>
      <c r="I159" s="34"/>
      <c r="K159" s="78"/>
      <c r="M159" s="76"/>
    </row>
    <row r="160" spans="1:13" s="31" customFormat="1" ht="15.75" hidden="1" x14ac:dyDescent="0.3">
      <c r="A160" s="120" t="s">
        <v>178</v>
      </c>
      <c r="B160" s="32"/>
      <c r="C160" s="34">
        <v>0</v>
      </c>
      <c r="E160" s="34">
        <v>0</v>
      </c>
      <c r="G160" s="34">
        <v>0</v>
      </c>
      <c r="I160" s="34">
        <f>1850</f>
        <v>1850</v>
      </c>
      <c r="K160" s="78">
        <f>13031.55+2000</f>
        <v>15031.55</v>
      </c>
      <c r="M160" s="76">
        <f>SUM(C160+E160+G160+I160+K160)</f>
        <v>16881.55</v>
      </c>
    </row>
    <row r="161" spans="1:13" s="31" customFormat="1" ht="15.75" hidden="1" x14ac:dyDescent="0.3">
      <c r="A161" s="120" t="s">
        <v>177</v>
      </c>
      <c r="B161" s="32"/>
      <c r="C161" s="34">
        <v>0</v>
      </c>
      <c r="E161" s="34">
        <v>0</v>
      </c>
      <c r="G161" s="34">
        <v>0</v>
      </c>
      <c r="I161" s="34">
        <v>0</v>
      </c>
      <c r="K161" s="78">
        <v>0</v>
      </c>
      <c r="M161" s="76">
        <f t="shared" ref="M161:M167" si="13">SUM(C161+E161+G161+I161+K161)</f>
        <v>0</v>
      </c>
    </row>
    <row r="162" spans="1:13" s="31" customFormat="1" ht="15.75" hidden="1" x14ac:dyDescent="0.3">
      <c r="A162" s="120" t="s">
        <v>228</v>
      </c>
      <c r="B162" s="32"/>
      <c r="C162" s="34">
        <v>2122.41</v>
      </c>
      <c r="E162" s="34">
        <v>0</v>
      </c>
      <c r="G162" s="34">
        <v>0</v>
      </c>
      <c r="I162" s="34">
        <v>0</v>
      </c>
      <c r="K162" s="78">
        <v>0</v>
      </c>
      <c r="M162" s="76">
        <f t="shared" si="13"/>
        <v>2122.41</v>
      </c>
    </row>
    <row r="163" spans="1:13" s="31" customFormat="1" ht="15.75" hidden="1" x14ac:dyDescent="0.3">
      <c r="A163" s="120" t="s">
        <v>192</v>
      </c>
      <c r="B163" s="32"/>
      <c r="C163" s="34">
        <f>7500</f>
        <v>7500</v>
      </c>
      <c r="E163" s="34">
        <v>0</v>
      </c>
      <c r="G163" s="34">
        <v>0</v>
      </c>
      <c r="I163" s="34">
        <v>0</v>
      </c>
      <c r="K163" s="78">
        <v>0</v>
      </c>
      <c r="M163" s="76">
        <f t="shared" si="13"/>
        <v>7500</v>
      </c>
    </row>
    <row r="164" spans="1:13" s="31" customFormat="1" ht="15.75" hidden="1" x14ac:dyDescent="0.3">
      <c r="A164" s="120" t="s">
        <v>184</v>
      </c>
      <c r="B164" s="32"/>
      <c r="C164" s="34">
        <f>150</f>
        <v>150</v>
      </c>
      <c r="E164" s="34">
        <v>0</v>
      </c>
      <c r="G164" s="34">
        <v>0</v>
      </c>
      <c r="I164" s="34">
        <v>0</v>
      </c>
      <c r="K164" s="78">
        <v>0</v>
      </c>
      <c r="M164" s="76">
        <f t="shared" si="13"/>
        <v>150</v>
      </c>
    </row>
    <row r="165" spans="1:13" s="31" customFormat="1" ht="15.75" hidden="1" x14ac:dyDescent="0.3">
      <c r="A165" s="120" t="s">
        <v>180</v>
      </c>
      <c r="B165" s="32"/>
      <c r="C165" s="34">
        <f>452+307</f>
        <v>759</v>
      </c>
      <c r="E165" s="34">
        <f>21.9</f>
        <v>21.9</v>
      </c>
      <c r="G165" s="34">
        <v>0</v>
      </c>
      <c r="I165" s="34">
        <v>0</v>
      </c>
      <c r="K165" s="78">
        <v>0</v>
      </c>
      <c r="M165" s="76">
        <f t="shared" si="13"/>
        <v>780.9</v>
      </c>
    </row>
    <row r="166" spans="1:13" s="31" customFormat="1" ht="15.75" hidden="1" x14ac:dyDescent="0.3">
      <c r="A166" s="120" t="s">
        <v>194</v>
      </c>
      <c r="B166" s="32"/>
      <c r="C166" s="34">
        <v>0</v>
      </c>
      <c r="E166" s="34">
        <f>149.87</f>
        <v>149.87</v>
      </c>
      <c r="G166" s="34">
        <v>0</v>
      </c>
      <c r="I166" s="34">
        <v>0</v>
      </c>
      <c r="K166" s="78">
        <v>0</v>
      </c>
      <c r="M166" s="76">
        <f t="shared" si="13"/>
        <v>149.87</v>
      </c>
    </row>
    <row r="167" spans="1:13" s="31" customFormat="1" ht="15.75" hidden="1" x14ac:dyDescent="0.3">
      <c r="A167" s="120" t="s">
        <v>203</v>
      </c>
      <c r="B167" s="32"/>
      <c r="C167" s="34">
        <v>0</v>
      </c>
      <c r="E167" s="34">
        <v>0</v>
      </c>
      <c r="G167" s="34">
        <v>0</v>
      </c>
      <c r="I167" s="34">
        <f>1426.35</f>
        <v>1426.35</v>
      </c>
      <c r="K167" s="78">
        <v>0</v>
      </c>
      <c r="M167" s="76">
        <f t="shared" si="13"/>
        <v>1426.35</v>
      </c>
    </row>
    <row r="168" spans="1:13" s="31" customFormat="1" ht="15.75" hidden="1" x14ac:dyDescent="0.3">
      <c r="A168" s="118" t="s">
        <v>32</v>
      </c>
      <c r="B168" s="32"/>
      <c r="C168" s="69">
        <f>SUM(C160:C167)</f>
        <v>10531.41</v>
      </c>
      <c r="D168" s="32"/>
      <c r="E168" s="69">
        <f>SUM(E160:E167)</f>
        <v>171.77</v>
      </c>
      <c r="F168" s="32"/>
      <c r="G168" s="69">
        <f>SUM(G160:G167)</f>
        <v>0</v>
      </c>
      <c r="H168" s="32"/>
      <c r="I168" s="69">
        <f>SUM(I160:I167)</f>
        <v>3276.35</v>
      </c>
      <c r="J168" s="32"/>
      <c r="K168" s="69">
        <f>SUM(K160:K167)</f>
        <v>15031.55</v>
      </c>
      <c r="L168" s="32"/>
      <c r="M168" s="76">
        <f>SUM(C168+E168+G168+I168+K168)</f>
        <v>29011.08</v>
      </c>
    </row>
    <row r="169" spans="1:13" s="31" customFormat="1" hidden="1" x14ac:dyDescent="0.25">
      <c r="A169" s="121"/>
      <c r="K169" s="80"/>
    </row>
    <row r="170" spans="1:13" s="31" customFormat="1" ht="15.75" hidden="1" x14ac:dyDescent="0.3">
      <c r="A170" s="118" t="s">
        <v>32</v>
      </c>
      <c r="B170" s="32"/>
      <c r="C170" s="69">
        <f>SUM(C168+C155+C149+C143+C138+C133+C126+C90+C83+C76+C73+C68+C60+C55)</f>
        <v>173580.79500000001</v>
      </c>
      <c r="D170" s="32"/>
      <c r="E170" s="69">
        <f>SUM(E168+E155+E149+E143+E138+E133+E126+E90+E83+E76+E73+E68+E60+E55)</f>
        <v>284921.45</v>
      </c>
      <c r="F170" s="32"/>
      <c r="G170" s="69">
        <f>SUM(G168+G155+G149+G143+G138+G133+G126+G90+G83+G76+G73+G68+G60+G55)</f>
        <v>196832.12</v>
      </c>
      <c r="H170" s="32"/>
      <c r="I170" s="69">
        <f>SUM(I168+I155+I149+I143+I138+I133+I126+I90+I83+I76+I73+I68+I60+I55)</f>
        <v>218206.05</v>
      </c>
      <c r="J170" s="32"/>
      <c r="K170" s="69">
        <f>SUM(K168+K155+K149+K143+K138+K133+K126+K90+K83+K76+K73+K68+K60+K55)</f>
        <v>248627.86000000002</v>
      </c>
      <c r="L170" s="32"/>
      <c r="M170" s="76">
        <f>SUM(M55+M60+M68+M73+M76+M83+M90+M126+M133+M138+M143+M149+M155+M168)</f>
        <v>1122168.2750000004</v>
      </c>
    </row>
    <row r="171" spans="1:13" s="31" customFormat="1" hidden="1" x14ac:dyDescent="0.25">
      <c r="A171" s="121"/>
      <c r="K171" s="80"/>
    </row>
    <row r="172" spans="1:13" s="31" customFormat="1" hidden="1" x14ac:dyDescent="0.25">
      <c r="A172" s="121"/>
      <c r="K172" s="80"/>
    </row>
  </sheetData>
  <mergeCells count="2">
    <mergeCell ref="C2:K2"/>
    <mergeCell ref="C3:K3"/>
  </mergeCells>
  <conditionalFormatting sqref="A54">
    <cfRule type="dataBar" priority="91">
      <dataBar>
        <cfvo type="min"/>
        <cfvo type="max"/>
        <color theme="0"/>
      </dataBar>
    </cfRule>
    <cfRule type="dataBar" priority="92">
      <dataBar>
        <cfvo type="min"/>
        <cfvo type="max"/>
        <color theme="0"/>
      </dataBar>
    </cfRule>
  </conditionalFormatting>
  <conditionalFormatting sqref="A91">
    <cfRule type="dataBar" priority="89">
      <dataBar>
        <cfvo type="min"/>
        <cfvo type="max"/>
        <color theme="0"/>
      </dataBar>
    </cfRule>
    <cfRule type="dataBar" priority="90">
      <dataBar>
        <cfvo type="min"/>
        <cfvo type="max"/>
        <color theme="0"/>
      </dataBar>
    </cfRule>
  </conditionalFormatting>
  <conditionalFormatting sqref="A93">
    <cfRule type="dataBar" priority="87">
      <dataBar>
        <cfvo type="min"/>
        <cfvo type="max"/>
        <color theme="0"/>
      </dataBar>
    </cfRule>
    <cfRule type="dataBar" priority="88">
      <dataBar>
        <cfvo type="min"/>
        <cfvo type="max"/>
        <color theme="0"/>
      </dataBar>
    </cfRule>
  </conditionalFormatting>
  <conditionalFormatting sqref="A116">
    <cfRule type="dataBar" priority="85">
      <dataBar>
        <cfvo type="min"/>
        <cfvo type="max"/>
        <color theme="0"/>
      </dataBar>
    </cfRule>
    <cfRule type="dataBar" priority="86">
      <dataBar>
        <cfvo type="min"/>
        <cfvo type="max"/>
        <color theme="0"/>
      </dataBar>
    </cfRule>
  </conditionalFormatting>
  <conditionalFormatting sqref="A133:A134">
    <cfRule type="dataBar" priority="83">
      <dataBar>
        <cfvo type="min"/>
        <cfvo type="max"/>
        <color theme="0"/>
      </dataBar>
    </cfRule>
    <cfRule type="dataBar" priority="84">
      <dataBar>
        <cfvo type="min"/>
        <cfvo type="max"/>
        <color theme="0"/>
      </dataBar>
    </cfRule>
  </conditionalFormatting>
  <conditionalFormatting sqref="A133:A134">
    <cfRule type="dataBar" priority="80">
      <dataBar>
        <cfvo type="min"/>
        <cfvo type="max"/>
        <color rgb="FFFF555A"/>
      </dataBar>
    </cfRule>
    <cfRule type="iconSet" priority="81">
      <iconSet iconSet="4TrafficLights">
        <cfvo type="percent" val="0"/>
        <cfvo type="percent" val="25"/>
        <cfvo type="percent" val="50"/>
        <cfvo type="percent" val="75"/>
      </iconSet>
    </cfRule>
    <cfRule type="dataBar" priority="82">
      <dataBar>
        <cfvo type="min"/>
        <cfvo type="max"/>
        <color rgb="FF638EC6"/>
      </dataBar>
    </cfRule>
  </conditionalFormatting>
  <conditionalFormatting sqref="A140">
    <cfRule type="dataBar" priority="78">
      <dataBar>
        <cfvo type="min"/>
        <cfvo type="max"/>
        <color theme="0"/>
      </dataBar>
    </cfRule>
    <cfRule type="dataBar" priority="79">
      <dataBar>
        <cfvo type="min"/>
        <cfvo type="max"/>
        <color theme="0"/>
      </dataBar>
    </cfRule>
  </conditionalFormatting>
  <conditionalFormatting sqref="A140">
    <cfRule type="dataBar" priority="75">
      <dataBar>
        <cfvo type="min"/>
        <cfvo type="max"/>
        <color rgb="FFFF555A"/>
      </dataBar>
    </cfRule>
    <cfRule type="iconSet" priority="76">
      <iconSet iconSet="4TrafficLights">
        <cfvo type="percent" val="0"/>
        <cfvo type="percent" val="25"/>
        <cfvo type="percent" val="50"/>
        <cfvo type="percent" val="75"/>
      </iconSet>
    </cfRule>
    <cfRule type="dataBar" priority="77">
      <dataBar>
        <cfvo type="min"/>
        <cfvo type="max"/>
        <color rgb="FF638EC6"/>
      </dataBar>
    </cfRule>
  </conditionalFormatting>
  <conditionalFormatting sqref="A143:A145">
    <cfRule type="dataBar" priority="73">
      <dataBar>
        <cfvo type="min"/>
        <cfvo type="max"/>
        <color theme="0"/>
      </dataBar>
    </cfRule>
    <cfRule type="dataBar" priority="74">
      <dataBar>
        <cfvo type="min"/>
        <cfvo type="max"/>
        <color theme="0"/>
      </dataBar>
    </cfRule>
  </conditionalFormatting>
  <conditionalFormatting sqref="A143:A145">
    <cfRule type="dataBar" priority="70">
      <dataBar>
        <cfvo type="min"/>
        <cfvo type="max"/>
        <color rgb="FFFF555A"/>
      </dataBar>
    </cfRule>
    <cfRule type="iconSet" priority="71">
      <iconSet iconSet="4TrafficLights">
        <cfvo type="percent" val="0"/>
        <cfvo type="percent" val="25"/>
        <cfvo type="percent" val="50"/>
        <cfvo type="percent" val="75"/>
      </iconSet>
    </cfRule>
    <cfRule type="dataBar" priority="72">
      <dataBar>
        <cfvo type="min"/>
        <cfvo type="max"/>
        <color rgb="FF638EC6"/>
      </dataBar>
    </cfRule>
  </conditionalFormatting>
  <conditionalFormatting sqref="A144">
    <cfRule type="dataBar" priority="68">
      <dataBar>
        <cfvo type="min"/>
        <cfvo type="max"/>
        <color theme="0"/>
      </dataBar>
    </cfRule>
    <cfRule type="dataBar" priority="69">
      <dataBar>
        <cfvo type="min"/>
        <cfvo type="max"/>
        <color theme="0"/>
      </dataBar>
    </cfRule>
  </conditionalFormatting>
  <conditionalFormatting sqref="A144">
    <cfRule type="dataBar" priority="65">
      <dataBar>
        <cfvo type="min"/>
        <cfvo type="max"/>
        <color rgb="FFFF555A"/>
      </dataBar>
    </cfRule>
    <cfRule type="iconSet" priority="66">
      <iconSet iconSet="4TrafficLights">
        <cfvo type="percent" val="0"/>
        <cfvo type="percent" val="25"/>
        <cfvo type="percent" val="50"/>
        <cfvo type="percent" val="75"/>
      </iconSet>
    </cfRule>
    <cfRule type="dataBar" priority="67">
      <dataBar>
        <cfvo type="min"/>
        <cfvo type="max"/>
        <color rgb="FF638EC6"/>
      </dataBar>
    </cfRule>
  </conditionalFormatting>
  <conditionalFormatting sqref="A148">
    <cfRule type="dataBar" priority="63">
      <dataBar>
        <cfvo type="min"/>
        <cfvo type="max"/>
        <color theme="0"/>
      </dataBar>
    </cfRule>
    <cfRule type="dataBar" priority="64">
      <dataBar>
        <cfvo type="min"/>
        <cfvo type="max"/>
        <color theme="0"/>
      </dataBar>
    </cfRule>
  </conditionalFormatting>
  <conditionalFormatting sqref="A159">
    <cfRule type="dataBar" priority="61">
      <dataBar>
        <cfvo type="min"/>
        <cfvo type="max"/>
        <color theme="0"/>
      </dataBar>
    </cfRule>
    <cfRule type="dataBar" priority="62">
      <dataBar>
        <cfvo type="min"/>
        <cfvo type="max"/>
        <color theme="0"/>
      </dataBar>
    </cfRule>
  </conditionalFormatting>
  <conditionalFormatting sqref="A159">
    <cfRule type="dataBar" priority="58">
      <dataBar>
        <cfvo type="min"/>
        <cfvo type="max"/>
        <color rgb="FFFF555A"/>
      </dataBar>
    </cfRule>
    <cfRule type="iconSet" priority="59">
      <iconSet iconSet="4TrafficLights">
        <cfvo type="percent" val="0"/>
        <cfvo type="percent" val="25"/>
        <cfvo type="percent" val="50"/>
        <cfvo type="percent" val="75"/>
      </iconSet>
    </cfRule>
    <cfRule type="dataBar" priority="60">
      <dataBar>
        <cfvo type="min"/>
        <cfvo type="max"/>
        <color rgb="FF638EC6"/>
      </dataBar>
    </cfRule>
  </conditionalFormatting>
  <conditionalFormatting sqref="A146">
    <cfRule type="dataBar" priority="56">
      <dataBar>
        <cfvo type="min"/>
        <cfvo type="max"/>
        <color theme="0"/>
      </dataBar>
    </cfRule>
    <cfRule type="dataBar" priority="57">
      <dataBar>
        <cfvo type="min"/>
        <cfvo type="max"/>
        <color theme="0"/>
      </dataBar>
    </cfRule>
  </conditionalFormatting>
  <conditionalFormatting sqref="A150:A154">
    <cfRule type="dataBar" priority="54">
      <dataBar>
        <cfvo type="min"/>
        <cfvo type="max"/>
        <color theme="0"/>
      </dataBar>
    </cfRule>
    <cfRule type="dataBar" priority="55">
      <dataBar>
        <cfvo type="min"/>
        <cfvo type="max"/>
        <color theme="0"/>
      </dataBar>
    </cfRule>
  </conditionalFormatting>
  <conditionalFormatting sqref="A149:A158">
    <cfRule type="dataBar" priority="52">
      <dataBar>
        <cfvo type="min"/>
        <cfvo type="max"/>
        <color theme="0"/>
      </dataBar>
    </cfRule>
    <cfRule type="dataBar" priority="53">
      <dataBar>
        <cfvo type="min"/>
        <cfvo type="max"/>
        <color theme="0"/>
      </dataBar>
    </cfRule>
  </conditionalFormatting>
  <conditionalFormatting sqref="A149:A158">
    <cfRule type="dataBar" priority="49">
      <dataBar>
        <cfvo type="min"/>
        <cfvo type="max"/>
        <color rgb="FFFF555A"/>
      </dataBar>
    </cfRule>
    <cfRule type="iconSet" priority="50">
      <iconSet iconSet="4TrafficLights">
        <cfvo type="percent" val="0"/>
        <cfvo type="percent" val="25"/>
        <cfvo type="percent" val="50"/>
        <cfvo type="percent" val="75"/>
      </iconSet>
    </cfRule>
    <cfRule type="dataBar" priority="51">
      <dataBar>
        <cfvo type="min"/>
        <cfvo type="max"/>
        <color rgb="FF638EC6"/>
      </dataBar>
    </cfRule>
  </conditionalFormatting>
  <conditionalFormatting sqref="A159:A167">
    <cfRule type="dataBar" priority="47">
      <dataBar>
        <cfvo type="min"/>
        <cfvo type="max"/>
        <color theme="0"/>
      </dataBar>
    </cfRule>
    <cfRule type="dataBar" priority="48">
      <dataBar>
        <cfvo type="min"/>
        <cfvo type="max"/>
        <color theme="0"/>
      </dataBar>
    </cfRule>
  </conditionalFormatting>
  <conditionalFormatting sqref="A168">
    <cfRule type="dataBar" priority="45">
      <dataBar>
        <cfvo type="min"/>
        <cfvo type="max"/>
        <color theme="0"/>
      </dataBar>
    </cfRule>
    <cfRule type="dataBar" priority="46">
      <dataBar>
        <cfvo type="min"/>
        <cfvo type="max"/>
        <color theme="0"/>
      </dataBar>
    </cfRule>
  </conditionalFormatting>
  <conditionalFormatting sqref="A168">
    <cfRule type="dataBar" priority="42">
      <dataBar>
        <cfvo type="min"/>
        <cfvo type="max"/>
        <color rgb="FFFF555A"/>
      </dataBar>
    </cfRule>
    <cfRule type="iconSet" priority="43">
      <iconSet iconSet="4TrafficLights">
        <cfvo type="percent" val="0"/>
        <cfvo type="percent" val="25"/>
        <cfvo type="percent" val="50"/>
        <cfvo type="percent" val="75"/>
      </iconSet>
    </cfRule>
    <cfRule type="dataBar" priority="44">
      <dataBar>
        <cfvo type="min"/>
        <cfvo type="max"/>
        <color rgb="FF638EC6"/>
      </dataBar>
    </cfRule>
  </conditionalFormatting>
  <conditionalFormatting sqref="A168">
    <cfRule type="dataBar" priority="40">
      <dataBar>
        <cfvo type="min"/>
        <cfvo type="max"/>
        <color theme="0"/>
      </dataBar>
    </cfRule>
    <cfRule type="dataBar" priority="41">
      <dataBar>
        <cfvo type="min"/>
        <cfvo type="max"/>
        <color theme="0"/>
      </dataBar>
    </cfRule>
  </conditionalFormatting>
  <conditionalFormatting sqref="A168">
    <cfRule type="dataBar" priority="37">
      <dataBar>
        <cfvo type="min"/>
        <cfvo type="max"/>
        <color rgb="FFFF555A"/>
      </dataBar>
    </cfRule>
    <cfRule type="iconSet" priority="38">
      <iconSet iconSet="4TrafficLights">
        <cfvo type="percent" val="0"/>
        <cfvo type="percent" val="25"/>
        <cfvo type="percent" val="50"/>
        <cfvo type="percent" val="75"/>
      </iconSet>
    </cfRule>
    <cfRule type="dataBar" priority="39">
      <dataBar>
        <cfvo type="min"/>
        <cfvo type="max"/>
        <color rgb="FF638EC6"/>
      </dataBar>
    </cfRule>
  </conditionalFormatting>
  <conditionalFormatting sqref="A170">
    <cfRule type="dataBar" priority="35">
      <dataBar>
        <cfvo type="min"/>
        <cfvo type="max"/>
        <color theme="0"/>
      </dataBar>
    </cfRule>
    <cfRule type="dataBar" priority="36">
      <dataBar>
        <cfvo type="min"/>
        <cfvo type="max"/>
        <color theme="0"/>
      </dataBar>
    </cfRule>
  </conditionalFormatting>
  <conditionalFormatting sqref="A170">
    <cfRule type="dataBar" priority="32">
      <dataBar>
        <cfvo type="min"/>
        <cfvo type="max"/>
        <color rgb="FFFF555A"/>
      </dataBar>
    </cfRule>
    <cfRule type="iconSet" priority="33">
      <iconSet iconSet="4TrafficLights">
        <cfvo type="percent" val="0"/>
        <cfvo type="percent" val="25"/>
        <cfvo type="percent" val="50"/>
        <cfvo type="percent" val="75"/>
      </iconSet>
    </cfRule>
    <cfRule type="dataBar" priority="34">
      <dataBar>
        <cfvo type="min"/>
        <cfvo type="max"/>
        <color rgb="FF638EC6"/>
      </dataBar>
    </cfRule>
  </conditionalFormatting>
  <conditionalFormatting sqref="A170">
    <cfRule type="dataBar" priority="30">
      <dataBar>
        <cfvo type="min"/>
        <cfvo type="max"/>
        <color theme="0"/>
      </dataBar>
    </cfRule>
    <cfRule type="dataBar" priority="31">
      <dataBar>
        <cfvo type="min"/>
        <cfvo type="max"/>
        <color theme="0"/>
      </dataBar>
    </cfRule>
  </conditionalFormatting>
  <conditionalFormatting sqref="A170">
    <cfRule type="dataBar" priority="27">
      <dataBar>
        <cfvo type="min"/>
        <cfvo type="max"/>
        <color rgb="FFFF555A"/>
      </dataBar>
    </cfRule>
    <cfRule type="iconSet" priority="28">
      <iconSet iconSet="4TrafficLights">
        <cfvo type="percent" val="0"/>
        <cfvo type="percent" val="25"/>
        <cfvo type="percent" val="50"/>
        <cfvo type="percent" val="75"/>
      </iconSet>
    </cfRule>
    <cfRule type="dataBar" priority="29">
      <dataBar>
        <cfvo type="min"/>
        <cfvo type="max"/>
        <color rgb="FF638EC6"/>
      </dataBar>
    </cfRule>
  </conditionalFormatting>
  <conditionalFormatting sqref="A157:A158">
    <cfRule type="dataBar" priority="25">
      <dataBar>
        <cfvo type="min"/>
        <cfvo type="max"/>
        <color theme="0"/>
      </dataBar>
    </cfRule>
    <cfRule type="dataBar" priority="26">
      <dataBar>
        <cfvo type="min"/>
        <cfvo type="max"/>
        <color theme="0"/>
      </dataBar>
    </cfRule>
  </conditionalFormatting>
  <conditionalFormatting sqref="A157:A158">
    <cfRule type="dataBar" priority="22">
      <dataBar>
        <cfvo type="min"/>
        <cfvo type="max"/>
        <color rgb="FFFF555A"/>
      </dataBar>
    </cfRule>
    <cfRule type="iconSet" priority="23">
      <iconSet iconSet="4TrafficLights">
        <cfvo type="percent" val="0"/>
        <cfvo type="percent" val="25"/>
        <cfvo type="percent" val="50"/>
        <cfvo type="percent" val="75"/>
      </iconSet>
    </cfRule>
    <cfRule type="dataBar" priority="24">
      <dataBar>
        <cfvo type="min"/>
        <cfvo type="max"/>
        <color rgb="FF638EC6"/>
      </dataBar>
    </cfRule>
  </conditionalFormatting>
  <conditionalFormatting sqref="A157:A158">
    <cfRule type="dataBar" priority="20">
      <dataBar>
        <cfvo type="min"/>
        <cfvo type="max"/>
        <color theme="0"/>
      </dataBar>
    </cfRule>
    <cfRule type="dataBar" priority="21">
      <dataBar>
        <cfvo type="min"/>
        <cfvo type="max"/>
        <color theme="0"/>
      </dataBar>
    </cfRule>
  </conditionalFormatting>
  <conditionalFormatting sqref="A157:A158">
    <cfRule type="dataBar" priority="17">
      <dataBar>
        <cfvo type="min"/>
        <cfvo type="max"/>
        <color rgb="FFFF555A"/>
      </dataBar>
    </cfRule>
    <cfRule type="iconSet" priority="18">
      <iconSet iconSet="4TrafficLights">
        <cfvo type="percent" val="0"/>
        <cfvo type="percent" val="25"/>
        <cfvo type="percent" val="50"/>
        <cfvo type="percent" val="75"/>
      </iconSet>
    </cfRule>
    <cfRule type="dataBar" priority="19">
      <dataBar>
        <cfvo type="min"/>
        <cfvo type="max"/>
        <color rgb="FF638EC6"/>
      </dataBar>
    </cfRule>
  </conditionalFormatting>
  <conditionalFormatting sqref="A95:A115">
    <cfRule type="dataBar" priority="15">
      <dataBar>
        <cfvo type="min"/>
        <cfvo type="max"/>
        <color theme="0"/>
      </dataBar>
    </cfRule>
    <cfRule type="dataBar" priority="16">
      <dataBar>
        <cfvo type="min"/>
        <cfvo type="max"/>
        <color theme="0"/>
      </dataBar>
    </cfRule>
  </conditionalFormatting>
  <conditionalFormatting sqref="A91:A116">
    <cfRule type="dataBar" priority="13">
      <dataBar>
        <cfvo type="min"/>
        <cfvo type="max"/>
        <color theme="0"/>
      </dataBar>
    </cfRule>
    <cfRule type="dataBar" priority="14">
      <dataBar>
        <cfvo type="min"/>
        <cfvo type="max"/>
        <color theme="0"/>
      </dataBar>
    </cfRule>
  </conditionalFormatting>
  <conditionalFormatting sqref="A94:A116">
    <cfRule type="dataBar" priority="11">
      <dataBar>
        <cfvo type="min"/>
        <cfvo type="max"/>
        <color theme="0"/>
      </dataBar>
    </cfRule>
    <cfRule type="dataBar" priority="12">
      <dataBar>
        <cfvo type="min"/>
        <cfvo type="max"/>
        <color theme="0"/>
      </dataBar>
    </cfRule>
  </conditionalFormatting>
  <conditionalFormatting sqref="A9:A126">
    <cfRule type="dataBar" priority="9">
      <dataBar>
        <cfvo type="min"/>
        <cfvo type="max"/>
        <color theme="0"/>
      </dataBar>
    </cfRule>
    <cfRule type="dataBar" priority="10">
      <dataBar>
        <cfvo type="min"/>
        <cfvo type="max"/>
        <color theme="0"/>
      </dataBar>
    </cfRule>
  </conditionalFormatting>
  <conditionalFormatting sqref="A9:A126">
    <cfRule type="dataBar" priority="6">
      <dataBar>
        <cfvo type="min"/>
        <cfvo type="max"/>
        <color rgb="FFFF555A"/>
      </dataBar>
    </cfRule>
    <cfRule type="iconSet" priority="7">
      <iconSet iconSet="4TrafficLights">
        <cfvo type="percent" val="0"/>
        <cfvo type="percent" val="25"/>
        <cfvo type="percent" val="50"/>
        <cfvo type="percent" val="75"/>
      </iconSet>
    </cfRule>
    <cfRule type="dataBar" priority="8">
      <dataBar>
        <cfvo type="min"/>
        <cfvo type="max"/>
        <color rgb="FF638EC6"/>
      </dataBar>
    </cfRule>
  </conditionalFormatting>
  <conditionalFormatting sqref="A127:A158">
    <cfRule type="dataBar" priority="4">
      <dataBar>
        <cfvo type="min"/>
        <cfvo type="max"/>
        <color theme="0"/>
      </dataBar>
    </cfRule>
    <cfRule type="dataBar" priority="5">
      <dataBar>
        <cfvo type="min"/>
        <cfvo type="max"/>
        <color theme="0"/>
      </dataBar>
    </cfRule>
  </conditionalFormatting>
  <conditionalFormatting sqref="A127:A158">
    <cfRule type="dataBar" priority="1">
      <dataBar>
        <cfvo type="min"/>
        <cfvo type="max"/>
        <color rgb="FFFF555A"/>
      </dataBar>
    </cfRule>
    <cfRule type="iconSet" priority="2">
      <iconSet iconSet="4TrafficLights">
        <cfvo type="percent" val="0"/>
        <cfvo type="percent" val="25"/>
        <cfvo type="percent" val="50"/>
        <cfvo type="percent" val="75"/>
      </iconSet>
    </cfRule>
    <cfRule type="dataBar" priority="3">
      <dataBar>
        <cfvo type="min"/>
        <cfvo type="max"/>
        <color rgb="FF638EC6"/>
      </dataBar>
    </cfRule>
  </conditionalFormatting>
  <pageMargins left="0" right="0" top="0" bottom="0" header="0.31496062992125984" footer="0.31496062992125984"/>
  <pageSetup paperSize="9" scale="75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34998626667073579"/>
  </sheetPr>
  <dimension ref="A1:J174"/>
  <sheetViews>
    <sheetView topLeftCell="A70" zoomScale="91" zoomScaleNormal="91" workbookViewId="0">
      <selection activeCell="C92" sqref="C92:C93"/>
    </sheetView>
  </sheetViews>
  <sheetFormatPr defaultRowHeight="15" x14ac:dyDescent="0.25"/>
  <cols>
    <col min="1" max="1" width="42.140625" style="122" customWidth="1"/>
    <col min="2" max="2" width="0.5703125" customWidth="1"/>
    <col min="3" max="3" width="14.85546875" style="31" bestFit="1" customWidth="1"/>
    <col min="4" max="4" width="0.7109375" customWidth="1"/>
    <col min="5" max="5" width="15.140625" style="75" customWidth="1"/>
    <col min="6" max="6" width="0.85546875" customWidth="1"/>
    <col min="7" max="7" width="15.5703125" style="31" bestFit="1" customWidth="1"/>
    <col min="8" max="8" width="0.85546875" customWidth="1"/>
    <col min="9" max="9" width="16.42578125" bestFit="1" customWidth="1"/>
    <col min="10" max="10" width="12.5703125" bestFit="1" customWidth="1"/>
  </cols>
  <sheetData>
    <row r="1" spans="1:9" ht="15.75" x14ac:dyDescent="0.25">
      <c r="I1" s="93">
        <v>1</v>
      </c>
    </row>
    <row r="2" spans="1:9" ht="31.5" x14ac:dyDescent="0.5">
      <c r="C2" s="305" t="s">
        <v>204</v>
      </c>
      <c r="D2" s="305"/>
      <c r="E2" s="305"/>
      <c r="F2" s="305"/>
      <c r="G2" s="305"/>
      <c r="H2" s="305"/>
    </row>
    <row r="3" spans="1:9" ht="31.5" x14ac:dyDescent="0.5">
      <c r="C3" s="305" t="s">
        <v>205</v>
      </c>
      <c r="D3" s="305"/>
      <c r="E3" s="305"/>
      <c r="F3" s="305"/>
      <c r="G3" s="305"/>
      <c r="H3" s="305"/>
    </row>
    <row r="4" spans="1:9" s="3" customFormat="1" x14ac:dyDescent="0.25">
      <c r="A4" s="37"/>
      <c r="C4" s="33" t="s">
        <v>109</v>
      </c>
      <c r="E4" s="3" t="s">
        <v>110</v>
      </c>
      <c r="G4" s="33" t="s">
        <v>138</v>
      </c>
    </row>
    <row r="5" spans="1:9" s="3" customFormat="1" x14ac:dyDescent="0.25">
      <c r="A5" s="123" t="s">
        <v>233</v>
      </c>
      <c r="C5" s="137">
        <v>23537.200000000001</v>
      </c>
      <c r="E5" s="137">
        <v>-2258.87</v>
      </c>
      <c r="G5" s="137">
        <v>-19291.43</v>
      </c>
      <c r="I5" s="26">
        <v>-19291.43</v>
      </c>
    </row>
    <row r="6" spans="1:9" s="2" customFormat="1" x14ac:dyDescent="0.25">
      <c r="A6" s="123" t="s">
        <v>230</v>
      </c>
      <c r="B6" s="3"/>
      <c r="C6" s="1">
        <f>SUM(C17)</f>
        <v>189133.63</v>
      </c>
      <c r="D6" s="1"/>
      <c r="E6" s="1">
        <f>SUM(E17)</f>
        <v>211784.79000000004</v>
      </c>
      <c r="F6" s="1"/>
      <c r="G6" s="1">
        <f>SUM(G17)</f>
        <v>65760.549999999988</v>
      </c>
      <c r="H6" s="1"/>
      <c r="I6" s="26">
        <v>-19291.43</v>
      </c>
    </row>
    <row r="7" spans="1:9" x14ac:dyDescent="0.25">
      <c r="A7" s="123" t="s">
        <v>231</v>
      </c>
      <c r="B7" s="3"/>
      <c r="C7" s="1">
        <f>SUM(C159)</f>
        <v>214929.69999999995</v>
      </c>
      <c r="D7" s="1"/>
      <c r="E7" s="1">
        <f>SUM(E159)</f>
        <v>228817.35</v>
      </c>
      <c r="F7" s="1"/>
      <c r="G7" s="1">
        <f>SUM(G159)</f>
        <v>51323.840000000011</v>
      </c>
      <c r="H7" s="1"/>
      <c r="I7" s="10">
        <f>SUM(C7:H7)</f>
        <v>495070.88999999996</v>
      </c>
    </row>
    <row r="8" spans="1:9" s="35" customFormat="1" x14ac:dyDescent="0.25">
      <c r="A8" s="121"/>
      <c r="C8" s="82">
        <f>SUM(C5+C6-C7)</f>
        <v>-2258.8699999999371</v>
      </c>
      <c r="E8" s="82">
        <f>SUM(E5+E6-E7)</f>
        <v>-19291.429999999964</v>
      </c>
      <c r="G8" s="82">
        <f>SUM(G5+G6-G7)</f>
        <v>-4854.720000000023</v>
      </c>
      <c r="I8" s="82">
        <f>SUM(I5+I6-I7)</f>
        <v>-533653.75</v>
      </c>
    </row>
    <row r="9" spans="1:9" s="35" customFormat="1" ht="21" x14ac:dyDescent="0.4">
      <c r="A9" s="124" t="s">
        <v>206</v>
      </c>
      <c r="C9" s="68"/>
      <c r="E9" s="73"/>
      <c r="G9" s="68"/>
      <c r="I9" s="71"/>
    </row>
    <row r="10" spans="1:9" s="35" customFormat="1" ht="16.5" x14ac:dyDescent="0.3">
      <c r="A10" s="125" t="s">
        <v>207</v>
      </c>
      <c r="C10" s="73">
        <f>17407.85+46120.82+6174.81</f>
        <v>69703.48</v>
      </c>
      <c r="D10" s="85"/>
      <c r="E10" s="73">
        <f>6174.81+17407.85+39926.98</f>
        <v>63509.64</v>
      </c>
      <c r="F10" s="85"/>
      <c r="G10" s="73">
        <f>17407.85+45557.57</f>
        <v>62965.42</v>
      </c>
      <c r="H10" s="85"/>
      <c r="I10" s="86">
        <f>SUM(C10+E10+G10)</f>
        <v>196178.53999999998</v>
      </c>
    </row>
    <row r="11" spans="1:9" s="35" customFormat="1" ht="16.5" x14ac:dyDescent="0.3">
      <c r="A11" s="125" t="s">
        <v>239</v>
      </c>
      <c r="C11" s="73">
        <f>2495.13</f>
        <v>2495.13</v>
      </c>
      <c r="D11" s="85"/>
      <c r="E11" s="73">
        <f>2495.13</f>
        <v>2495.13</v>
      </c>
      <c r="F11" s="85"/>
      <c r="G11" s="73">
        <f>2495.13</f>
        <v>2495.13</v>
      </c>
      <c r="H11" s="85"/>
      <c r="I11" s="86">
        <f t="shared" ref="I11:I16" si="0">SUM(C11+E11+G11)</f>
        <v>7485.39</v>
      </c>
    </row>
    <row r="12" spans="1:9" s="35" customFormat="1" ht="16.5" x14ac:dyDescent="0.3">
      <c r="A12" s="125" t="s">
        <v>208</v>
      </c>
      <c r="C12" s="73">
        <v>70250</v>
      </c>
      <c r="D12" s="85"/>
      <c r="E12" s="73">
        <f>70250</f>
        <v>70250</v>
      </c>
      <c r="F12" s="85"/>
      <c r="G12" s="73">
        <v>0</v>
      </c>
      <c r="H12" s="85"/>
      <c r="I12" s="86">
        <f t="shared" si="0"/>
        <v>140500</v>
      </c>
    </row>
    <row r="13" spans="1:9" s="35" customFormat="1" ht="16.5" x14ac:dyDescent="0.3">
      <c r="A13" s="125" t="s">
        <v>209</v>
      </c>
      <c r="C13" s="73">
        <f>10552.02+25000</f>
        <v>35552.020000000004</v>
      </c>
      <c r="D13" s="85"/>
      <c r="E13" s="73">
        <f>25000+9058.27+25000</f>
        <v>59058.270000000004</v>
      </c>
      <c r="F13" s="85"/>
      <c r="G13" s="73">
        <v>0</v>
      </c>
      <c r="H13" s="85"/>
      <c r="I13" s="86">
        <f t="shared" si="0"/>
        <v>94610.290000000008</v>
      </c>
    </row>
    <row r="14" spans="1:9" s="35" customFormat="1" ht="16.5" x14ac:dyDescent="0.3">
      <c r="A14" s="125" t="s">
        <v>232</v>
      </c>
      <c r="C14" s="73">
        <v>0</v>
      </c>
      <c r="D14" s="85"/>
      <c r="E14" s="73">
        <v>0</v>
      </c>
      <c r="F14" s="85"/>
      <c r="G14" s="73">
        <v>0</v>
      </c>
      <c r="H14" s="85"/>
      <c r="I14" s="86">
        <f t="shared" si="0"/>
        <v>0</v>
      </c>
    </row>
    <row r="15" spans="1:9" s="35" customFormat="1" ht="16.5" x14ac:dyDescent="0.3">
      <c r="A15" s="125" t="s">
        <v>210</v>
      </c>
      <c r="C15" s="73">
        <f>1000+120+110+100+210+80+300+2140+450+213+80+450+150+1500</f>
        <v>6903</v>
      </c>
      <c r="D15" s="85"/>
      <c r="E15" s="73">
        <v>6802.2</v>
      </c>
      <c r="F15" s="85"/>
      <c r="G15" s="73">
        <f>300</f>
        <v>300</v>
      </c>
      <c r="H15" s="85"/>
      <c r="I15" s="86">
        <f t="shared" si="0"/>
        <v>14005.2</v>
      </c>
    </row>
    <row r="16" spans="1:9" s="35" customFormat="1" ht="16.5" x14ac:dyDescent="0.3">
      <c r="A16" s="125" t="s">
        <v>235</v>
      </c>
      <c r="C16" s="73">
        <v>4230</v>
      </c>
      <c r="D16" s="85"/>
      <c r="E16" s="73">
        <v>9669.5499999999993</v>
      </c>
      <c r="F16" s="85"/>
      <c r="G16" s="73">
        <v>0</v>
      </c>
      <c r="H16" s="85"/>
      <c r="I16" s="86">
        <f t="shared" si="0"/>
        <v>13899.55</v>
      </c>
    </row>
    <row r="17" spans="1:9" s="35" customFormat="1" ht="21" x14ac:dyDescent="0.4">
      <c r="A17" s="126"/>
      <c r="C17" s="82">
        <f>SUM(C10:C16)</f>
        <v>189133.63</v>
      </c>
      <c r="E17" s="82">
        <f>SUM(E10:E16)</f>
        <v>211784.79000000004</v>
      </c>
      <c r="G17" s="82">
        <f>SUM(G10:G16)</f>
        <v>65760.549999999988</v>
      </c>
      <c r="I17" s="87">
        <f>SUM(C17+E17+G17)</f>
        <v>466678.97000000003</v>
      </c>
    </row>
    <row r="18" spans="1:9" s="8" customFormat="1" ht="21" x14ac:dyDescent="0.4">
      <c r="A18" s="124" t="s">
        <v>60</v>
      </c>
      <c r="C18" s="68"/>
      <c r="D18" s="35"/>
      <c r="E18" s="73"/>
      <c r="F18" s="35"/>
      <c r="G18" s="68"/>
      <c r="H18" s="35"/>
      <c r="I18" s="10"/>
    </row>
    <row r="19" spans="1:9" ht="15.75" x14ac:dyDescent="0.3">
      <c r="A19" s="127" t="s">
        <v>111</v>
      </c>
      <c r="B19" s="32"/>
      <c r="C19" s="6"/>
      <c r="D19" s="31"/>
      <c r="E19" s="74"/>
      <c r="F19" s="31"/>
      <c r="G19" s="6"/>
      <c r="H19" s="31"/>
      <c r="I19" s="76"/>
    </row>
    <row r="20" spans="1:9" ht="15.75" x14ac:dyDescent="0.3">
      <c r="A20" s="128" t="s">
        <v>62</v>
      </c>
      <c r="B20" s="9"/>
      <c r="C20" s="34">
        <f>788+1212.9+1212.9+1141.07+1212.9+1212.9+850+788+788+900+1141.07+2078.33+788+1212.9+3045.5+793.33+1200+1212.9+850+1332+788+390+850+2842.47+788+2205.54+1400+1479+1132.04+366.67+1141.07+56.67</f>
        <v>37200.160000000003</v>
      </c>
      <c r="E20" s="60">
        <f>1212.9+788+1212.9+788+1212.9+2150+733.33+850+1212.9+850+793.33+1332+3045.5+203.03+1212.9+1141.07+1479+1141.07+850+1141.07+900+788+1200+2270+788+1837.95+900+788+1141.07+4000+1333.33+1300+433.33+2470.2+550+3045.5+1212.8</f>
        <v>48308.080000000009</v>
      </c>
      <c r="G20" s="34">
        <f>1358.44+1358.44+788+788+1358.44+1300+2150+1000+1358.44+850+4000+850+3411+1358.44+1277.99+1479+850+1277.99+900+788+3411+1200+604.15+2270+788+2470.2+900+2766.65+788+1277.99+1358.44+1277.99+550</f>
        <v>48164.600000000006</v>
      </c>
      <c r="I20" s="11">
        <f>SUM(C20+E20+G20)</f>
        <v>133672.84000000003</v>
      </c>
    </row>
    <row r="21" spans="1:9" ht="15.75" x14ac:dyDescent="0.3">
      <c r="A21" s="128" t="s">
        <v>166</v>
      </c>
      <c r="B21" s="9"/>
      <c r="C21" s="34">
        <f>1000+13.38</f>
        <v>1013.38</v>
      </c>
      <c r="E21" s="60">
        <f>266.67</f>
        <v>266.67</v>
      </c>
      <c r="G21" s="34">
        <v>0</v>
      </c>
      <c r="I21" s="11">
        <f t="shared" ref="I21:I56" si="1">SUM(C21+E21+G21)</f>
        <v>1280.05</v>
      </c>
    </row>
    <row r="22" spans="1:9" ht="15.75" x14ac:dyDescent="0.3">
      <c r="A22" s="128" t="s">
        <v>173</v>
      </c>
      <c r="B22" s="9"/>
      <c r="C22" s="34">
        <f>26.2</f>
        <v>26.2</v>
      </c>
      <c r="E22" s="60">
        <f>26.2+26.2</f>
        <v>52.4</v>
      </c>
      <c r="G22" s="34">
        <f>26.2+26.2</f>
        <v>52.4</v>
      </c>
      <c r="I22" s="11">
        <f t="shared" si="1"/>
        <v>131</v>
      </c>
    </row>
    <row r="23" spans="1:9" ht="15.75" x14ac:dyDescent="0.3">
      <c r="A23" s="128" t="s">
        <v>167</v>
      </c>
      <c r="B23" s="9"/>
      <c r="C23" s="34">
        <v>0</v>
      </c>
      <c r="E23" s="60">
        <f>3.57</f>
        <v>3.57</v>
      </c>
      <c r="G23" s="34">
        <v>0</v>
      </c>
      <c r="I23" s="11">
        <f t="shared" si="1"/>
        <v>3.57</v>
      </c>
    </row>
    <row r="24" spans="1:9" ht="15.75" x14ac:dyDescent="0.3">
      <c r="A24" s="128" t="s">
        <v>159</v>
      </c>
      <c r="B24" s="9"/>
      <c r="C24" s="34">
        <f>2.32+2.19+4.58+6.93+0.99+1.51+2.85+6.65+3.32+30.2+0.65+0.72+4.12+0.62+0.65+2.07+14.83</f>
        <v>85.2</v>
      </c>
      <c r="E24" s="60">
        <f>2.42+9.02+24.76+3.02+27.61+43.33+1.94+23.01+23.77+39.06+1.43+7.6+43.85+23.38+66.6+0.76+7.31</f>
        <v>348.87000000000006</v>
      </c>
      <c r="G24" s="34">
        <f>43.88+29.34+13.12+15.02+26.8+1.05+87.63+0.9+39.31+35.98+3.13+29.29+45.12+32.42+6.37</f>
        <v>409.36000000000007</v>
      </c>
      <c r="I24" s="11">
        <f t="shared" si="1"/>
        <v>843.43000000000006</v>
      </c>
    </row>
    <row r="25" spans="1:9" ht="15.75" x14ac:dyDescent="0.3">
      <c r="A25" s="128" t="s">
        <v>164</v>
      </c>
      <c r="B25" s="9"/>
      <c r="C25" s="34">
        <f>80</f>
        <v>80</v>
      </c>
      <c r="E25" s="60">
        <f>80</f>
        <v>80</v>
      </c>
      <c r="G25" s="34">
        <f>80</f>
        <v>80</v>
      </c>
      <c r="I25" s="11">
        <f t="shared" si="1"/>
        <v>240</v>
      </c>
    </row>
    <row r="26" spans="1:9" ht="15.75" x14ac:dyDescent="0.3">
      <c r="A26" s="128" t="s">
        <v>157</v>
      </c>
      <c r="B26" s="9"/>
      <c r="C26" s="34">
        <f>12.08+7.85+20.6+34.58+22.61+26.2+9.04+5.16+17.24+96.37+25.79+3.38+4.52+16.91+3.21+3.38+10.77</f>
        <v>319.69</v>
      </c>
      <c r="E26" s="60">
        <f>9.66+3.67+110.45+3.26+5.7+26.98+20.63+3.03+29.23</f>
        <v>212.60999999999999</v>
      </c>
      <c r="G26" s="34">
        <f>7.63+44.99+22.37+3.59+3.09+11.19+10.74+7.23+1.81+21.83</f>
        <v>134.47000000000003</v>
      </c>
      <c r="I26" s="11">
        <f t="shared" si="1"/>
        <v>666.77</v>
      </c>
    </row>
    <row r="27" spans="1:9" ht="15.75" x14ac:dyDescent="0.3">
      <c r="A27" s="128" t="s">
        <v>158</v>
      </c>
      <c r="B27" s="9"/>
      <c r="C27" s="34">
        <f>5.31+14.84+13.42+4.51+117.51</f>
        <v>155.59</v>
      </c>
      <c r="E27" s="60">
        <f>32.41+99.03+12.08+173.33+4.51+92.06+87.17+156.24+12.55+147.69+93.53+266.4</f>
        <v>1177</v>
      </c>
      <c r="G27" s="34">
        <f>84.27+51.48+100.58+128.09+300.43+134.79+112.16+100.41+147.48+109.35</f>
        <v>1269.0399999999997</v>
      </c>
      <c r="I27" s="11">
        <f t="shared" si="1"/>
        <v>2601.6299999999997</v>
      </c>
    </row>
    <row r="28" spans="1:9" ht="15.75" x14ac:dyDescent="0.3">
      <c r="A28" s="128" t="s">
        <v>172</v>
      </c>
      <c r="B28" s="9"/>
      <c r="C28" s="34">
        <f>13.75</f>
        <v>13.75</v>
      </c>
      <c r="E28" s="60">
        <f>7.08</f>
        <v>7.08</v>
      </c>
      <c r="G28" s="34">
        <v>0</v>
      </c>
      <c r="I28" s="11">
        <f t="shared" si="1"/>
        <v>20.83</v>
      </c>
    </row>
    <row r="29" spans="1:9" ht="15.75" x14ac:dyDescent="0.3">
      <c r="A29" s="128" t="s">
        <v>160</v>
      </c>
      <c r="B29" s="9"/>
      <c r="C29" s="34">
        <f>0.76+0.36+0.32+0.12+0.76+0.64+0.13+0.58+0.01+0.66+0.45+0.77+0.31+0.5+0.68+0.46+0.35+0.65+0.48+0.76+0.57+0.13+0.31+0.58+0.03+0.67+0.22+0.95+0.48+0.19+0.42+0.67+0.83+0.35</f>
        <v>16.150000000000002</v>
      </c>
      <c r="E29" s="60">
        <f>0.26+0.37+0.73+0.09+0.13+0.45+0.87+0.17+0.27+0.73+0.05+0.79+0.46+0.93+0.49+0.59+0.11+0.08+0.08+0.51+0.88+0.22+0.67+0.91+0.19+0.76+0.53+0.59+0.64+0.23+0.4+0.73+0.21+0.83+0.19</f>
        <v>16.140000000000004</v>
      </c>
      <c r="G29" s="34">
        <f>0.17+0.07+0.17+0.02+0.81+0.66+0.45+0.75+0.55+0.04+0.48+0.28+0.7+0.16+0.93+0.51+0.29+0.8+0.89+0.13+0.34+0.01+0.56+0.89+0.01+0.48+0.24+0.38+0.41+0.13+0.35</f>
        <v>12.660000000000004</v>
      </c>
      <c r="I29" s="11">
        <f t="shared" si="1"/>
        <v>44.95000000000001</v>
      </c>
    </row>
    <row r="30" spans="1:9" ht="15.75" x14ac:dyDescent="0.3">
      <c r="A30" s="128" t="s">
        <v>155</v>
      </c>
      <c r="B30" s="9"/>
      <c r="C30" s="34">
        <f>72.77+79.92+182.73+68.46+72.77+182.73+72.77+68.46+72.77</f>
        <v>873.37999999999988</v>
      </c>
      <c r="E30" s="60">
        <f>72.77+72.77+72.77+182.73+68.46+68.46+68.46+148.21+72.77+182.73</f>
        <v>1010.13</v>
      </c>
      <c r="G30" s="34">
        <f>81.51+81.51+81.51+81.51+204.66+81.51+76.68+204.66+76.68+76.68</f>
        <v>1046.9100000000001</v>
      </c>
      <c r="I30" s="11">
        <f t="shared" si="1"/>
        <v>2930.42</v>
      </c>
    </row>
    <row r="31" spans="1:9" ht="15.75" x14ac:dyDescent="0.3">
      <c r="A31" s="128" t="s">
        <v>156</v>
      </c>
      <c r="B31" s="9"/>
      <c r="C31" s="34">
        <f>157.6+236.4+229.83+590.69+220.09+50.5+157.6+235.91-157.06+68.25+155.78+10.51+220.64+157.6+236.1+145.81+157.42+152.24+157.6+236.4+232.63+234.82+236.03+157.6+145.39+236.4+220.47+146.62+141.55+235.78+157.57</f>
        <v>5564.77</v>
      </c>
      <c r="E31" s="60">
        <f>236.4+157.42+236.4+156.11+234.59+148.19+115.57+42.03+156.35+236.07+148.23+145.89+236.4+236.4+15.76+236.4+236.4+591.6+157.6+236.01+157.29+151.8+157.6+157.6+157.39+197+149.31+156.73+236.4+157.6+52.53+156.69+52.34+236.4+236.4+235.18</f>
        <v>6608.0800000000008</v>
      </c>
      <c r="G31" s="34">
        <f>236.4+156.83+157.6+146.39+236.4+157.6+155.7+157.31+236.4+152.21+148.44+228.26+236.4+236.03+236.4+552.18+154.04+236.4+156.87+152.62+236.4+149+120.83+157.6+157.29+236.4+156.66+236.4+150.49+235.18+236.4</f>
        <v>6203.1299999999992</v>
      </c>
      <c r="I31" s="11">
        <f t="shared" si="1"/>
        <v>18375.980000000003</v>
      </c>
    </row>
    <row r="32" spans="1:9" ht="15.75" x14ac:dyDescent="0.3">
      <c r="A32" s="128" t="s">
        <v>199</v>
      </c>
      <c r="B32" s="9"/>
      <c r="C32" s="34">
        <v>0</v>
      </c>
      <c r="E32" s="60">
        <v>0</v>
      </c>
      <c r="G32" s="34">
        <v>0</v>
      </c>
      <c r="I32" s="11">
        <f t="shared" si="1"/>
        <v>0</v>
      </c>
    </row>
    <row r="33" spans="1:10" ht="15.75" x14ac:dyDescent="0.3">
      <c r="A33" s="128" t="s">
        <v>162</v>
      </c>
      <c r="B33" s="9"/>
      <c r="C33" s="34">
        <f>15.65+132.57+70+96.62+65.2+135.36+102.29+126.6+130.76+26.71</f>
        <v>901.7600000000001</v>
      </c>
      <c r="E33" s="60">
        <f>122.37+112.03+92.01+107.7+0.86+105.7+81.68+124.03+135.36</f>
        <v>881.74000000000012</v>
      </c>
      <c r="G33" s="34">
        <f>148.52+153.38+127.69+131.77+97.12+20.45+151.6+351.32+97.72+117.15</f>
        <v>1396.7200000000003</v>
      </c>
      <c r="I33" s="11">
        <f t="shared" si="1"/>
        <v>3180.2200000000003</v>
      </c>
    </row>
    <row r="34" spans="1:10" ht="15.75" x14ac:dyDescent="0.3">
      <c r="A34" s="128" t="s">
        <v>165</v>
      </c>
      <c r="B34" s="9"/>
      <c r="C34" s="34">
        <f>900+200+400+222+300+500+500+100+400+800</f>
        <v>4322</v>
      </c>
      <c r="E34" s="60">
        <f>500+300+300+1000+1000+1000+1000</f>
        <v>5100</v>
      </c>
      <c r="G34" s="34">
        <f>300+1000+500+1000+100+300</f>
        <v>3200</v>
      </c>
      <c r="I34" s="11">
        <f t="shared" si="1"/>
        <v>12622</v>
      </c>
    </row>
    <row r="35" spans="1:10" ht="15.75" x14ac:dyDescent="0.3">
      <c r="A35" s="128" t="s">
        <v>211</v>
      </c>
      <c r="B35" s="9"/>
      <c r="C35" s="34">
        <f>-66.48-98.23-56.59-38.38</f>
        <v>-259.68</v>
      </c>
      <c r="E35" s="60">
        <f>-44.63-107.73-56.18-19.24-361.2-99.74-145.57-125.8</f>
        <v>-960.08999999999992</v>
      </c>
      <c r="G35" s="34">
        <f>-21.07-46.63-323.59-159.45-69.64-179.69-19.24-61.32-119.53</f>
        <v>-1000.16</v>
      </c>
      <c r="I35" s="11">
        <f t="shared" si="1"/>
        <v>-2219.9299999999998</v>
      </c>
    </row>
    <row r="36" spans="1:10" ht="15.75" x14ac:dyDescent="0.3">
      <c r="A36" s="128" t="s">
        <v>212</v>
      </c>
      <c r="B36" s="9"/>
      <c r="C36" s="34">
        <f>-93.67-71.05-140.04-138.36-374.93-128.63-106.25-80.6-151.92-75.88-60.02-104.52-45.37-357.04-75.64-314.21-133.4-148.86-140.66-284.26-85.35-134.42-395.99-156.23-108.6-148.28-141.04-147.03-132.84-80.6-74.1-75.56</f>
        <v>-4705.3500000000013</v>
      </c>
      <c r="E36" s="60">
        <f>-138.07-79.16-147.99-84.83-137.99-308.87-92.89-136.46-147.76-85.02-107.49-141.15-381.1-17.5-138.71-139.82-374.76-81.17-134.16-90.97-90.47-108.6-267.03-84.89-183.14-129.65-75.53-130.13-513.01-262.44-269.41-29.4-133.56-374.52-395.99-150.76</f>
        <v>-6164.4</v>
      </c>
      <c r="G36" s="34">
        <f>-150.87-159.29-86.8-83.45-158.07-270.04-312.17-92.6-164.67-80.19-513.01-127.92-423.72-155.22-155.05-396.58-79.1-143.19-105.91-95.64-440.4-143.76-57.99-267.03-85.87-336.37-107.9-390.83-83.72-145.03-161.41</f>
        <v>-5973.7999999999984</v>
      </c>
      <c r="I36" s="11">
        <f t="shared" si="1"/>
        <v>-16843.55</v>
      </c>
    </row>
    <row r="37" spans="1:10" ht="15.75" x14ac:dyDescent="0.3">
      <c r="A37" s="128" t="s">
        <v>63</v>
      </c>
      <c r="B37" s="9"/>
      <c r="C37" s="34">
        <f>-368.32-362.15-153.69-504.73-701.85</f>
        <v>-2090.7400000000002</v>
      </c>
      <c r="E37" s="60">
        <f>-668.43-311.87-362.15-1000.25-1000.25</f>
        <v>-3342.95</v>
      </c>
      <c r="G37" s="34">
        <f>-368.32-668.43-311.87-1000.25-362.15</f>
        <v>-2711.02</v>
      </c>
      <c r="I37" s="11">
        <f t="shared" si="1"/>
        <v>-8144.7100000000009</v>
      </c>
      <c r="J37" s="34">
        <f>2602.4+1133.8</f>
        <v>3736.2</v>
      </c>
    </row>
    <row r="38" spans="1:10" ht="15.75" x14ac:dyDescent="0.3">
      <c r="A38" s="128" t="s">
        <v>118</v>
      </c>
      <c r="B38" s="9"/>
      <c r="C38" s="34">
        <f>-321.23-1.99-1.99-1.99-274.84</f>
        <v>-602.04</v>
      </c>
      <c r="E38" s="60">
        <f>-368.32-190.1-580.16-457.53-479.35</f>
        <v>-2075.46</v>
      </c>
      <c r="G38" s="34">
        <f>-434.77-57.1-454.83-300</f>
        <v>-1246.7</v>
      </c>
      <c r="I38" s="11">
        <f t="shared" si="1"/>
        <v>-3924.2</v>
      </c>
    </row>
    <row r="39" spans="1:10" ht="15.75" x14ac:dyDescent="0.3">
      <c r="A39" s="128" t="s">
        <v>87</v>
      </c>
      <c r="B39" s="9"/>
      <c r="C39" s="34">
        <f>-49.4-24.26-24.26-24.26-22.82-26.64-60.91-44.11-22.82</f>
        <v>-299.47999999999996</v>
      </c>
      <c r="E39" s="60">
        <f>-24.26-24.26-24.26-24.26-26.64-60.91-56.85-24.26-22.82-22.82-22.82-22.82-49.4-24.26-22.82-24.26</f>
        <v>-477.71999999999991</v>
      </c>
      <c r="G39" s="34">
        <f>-68.22-27.17-27.17-27.17-27.17-25.56-55.54-25.56-25.56</f>
        <v>-309.12000000000006</v>
      </c>
      <c r="I39" s="11">
        <f t="shared" si="1"/>
        <v>-1086.32</v>
      </c>
    </row>
    <row r="40" spans="1:10" ht="15.75" x14ac:dyDescent="0.3">
      <c r="A40" s="128" t="s">
        <v>242</v>
      </c>
      <c r="B40" s="9"/>
      <c r="C40" s="34">
        <v>0</v>
      </c>
      <c r="E40" s="60">
        <v>0</v>
      </c>
      <c r="G40" s="34">
        <f>-53.16-56.55-55.83-58.27-121.58-57.5-54.87-25.56-50.48-126.63-101.93-118.44-51.2-57.07</f>
        <v>-989.07</v>
      </c>
      <c r="I40" s="11">
        <f t="shared" si="1"/>
        <v>-989.07</v>
      </c>
    </row>
    <row r="41" spans="1:10" ht="15.75" x14ac:dyDescent="0.3">
      <c r="A41" s="128" t="s">
        <v>171</v>
      </c>
      <c r="B41" s="9"/>
      <c r="C41" s="34">
        <f>-82.34-26.27-40.43-36.67-40.43-49.3-28.33-44.4-26.27-30-28.33-101.52-26.27-73.52-46.67-30-38.04-71.67-26.67-40.43</f>
        <v>-887.55999999999972</v>
      </c>
      <c r="E41" s="60">
        <f>-38.04-133.33-43.33-101.52-28.33-40-40.43-38.04-26.27-26.27-28.33-40.43-40.43</f>
        <v>-624.74999999999989</v>
      </c>
      <c r="G41" s="34">
        <f>-33.33</f>
        <v>-33.33</v>
      </c>
      <c r="I41" s="11">
        <f t="shared" ref="I41" si="2">SUM(C41+E41+G41)</f>
        <v>-1545.6399999999994</v>
      </c>
    </row>
    <row r="42" spans="1:10" ht="15.75" x14ac:dyDescent="0.3">
      <c r="A42" s="128" t="s">
        <v>163</v>
      </c>
      <c r="B42" s="9"/>
      <c r="C42" s="34">
        <f>-0.07-0.36-0.24-0.25-0.18-0.35-0.11-0.89-0.68-0.75-0.02-0.31-0.46-0.24-0.73-0.31-0.94-0.94-0.47-0.65-0.36-0.94</f>
        <v>-10.25</v>
      </c>
      <c r="E42" s="60">
        <f>-0.76-0.83-0.19-0.35-0.13-0.13-0.76-0.67-0.95-0.01-0.5-0.66-0.68-0.26-12-0.48-0.64-0.67-0.83-0.76-0.31-0.22-0.45-0.62-0.77-0.35-0.57-0.45-0.64-0.92-0.4-0.36-0.08-0.22-0.75-0.22-0.16-0.5-0.75-0.04-0.58-0.03</f>
        <v>-31.649999999999995</v>
      </c>
      <c r="G42" s="34">
        <f>-0.37-0.73-0.09-0.73-0.13-0.45-0.17-0.27-0.23-0.73-0.79-0.49-0.59-0.11-0.08-0.51-0.88-0.83-0.22-0.67-0.19-0.91-0.19-0.76-0.21-0.53-0.59</f>
        <v>-12.45</v>
      </c>
      <c r="I42" s="11">
        <f t="shared" si="1"/>
        <v>-54.349999999999994</v>
      </c>
    </row>
    <row r="43" spans="1:10" ht="15.75" x14ac:dyDescent="0.3">
      <c r="A43" s="128" t="s">
        <v>161</v>
      </c>
      <c r="B43" s="9"/>
      <c r="C43" s="34">
        <f>-60.89-33.69-2.83-14.15-2.29-104.72-2.82-9.82-2.69-2.74-0.15-2.98+147.37-54.91-81.74-9.21-1.89-7.61-19.34-26.79-0.9</f>
        <v>-294.78999999999996</v>
      </c>
      <c r="E43" s="60">
        <f>-0.9-7.45-9.3-128.32-6.75-1.68-50.54-6.47-1.9-0.08-1.75-29.01-1.07-47.35-4.37-7.5-1.6-6.27</f>
        <v>-312.31</v>
      </c>
      <c r="G43" s="34">
        <f>-46.79-45.78-26.97-2.36-25.9-60.47-4.16-2.11-91.9-19.2-4.15-24.89-64.45-1.54-5.35-55.33-35.53-6.6</f>
        <v>-523.48</v>
      </c>
      <c r="I43" s="11">
        <f t="shared" si="1"/>
        <v>-1130.58</v>
      </c>
    </row>
    <row r="44" spans="1:10" ht="15.75" x14ac:dyDescent="0.3">
      <c r="A44" s="128" t="s">
        <v>181</v>
      </c>
      <c r="B44" s="9"/>
      <c r="C44" s="34">
        <v>0</v>
      </c>
      <c r="E44" s="60">
        <v>0</v>
      </c>
      <c r="G44" s="34">
        <v>0</v>
      </c>
      <c r="I44" s="11">
        <f t="shared" si="1"/>
        <v>0</v>
      </c>
    </row>
    <row r="45" spans="1:10" ht="15.75" x14ac:dyDescent="0.3">
      <c r="A45" s="128" t="s">
        <v>65</v>
      </c>
      <c r="B45" s="9"/>
      <c r="C45" s="34">
        <v>0</v>
      </c>
      <c r="E45" s="60">
        <v>0</v>
      </c>
      <c r="G45" s="34">
        <v>0</v>
      </c>
      <c r="I45" s="11">
        <f t="shared" si="1"/>
        <v>0</v>
      </c>
    </row>
    <row r="46" spans="1:10" ht="15.75" x14ac:dyDescent="0.3">
      <c r="A46" s="128" t="s">
        <v>186</v>
      </c>
      <c r="B46" s="9"/>
      <c r="C46" s="34">
        <v>0</v>
      </c>
      <c r="E46" s="60">
        <v>0</v>
      </c>
      <c r="G46" s="34">
        <v>0</v>
      </c>
      <c r="I46" s="11">
        <f t="shared" si="1"/>
        <v>0</v>
      </c>
    </row>
    <row r="47" spans="1:10" ht="16.5" x14ac:dyDescent="0.3">
      <c r="A47" s="106" t="s">
        <v>185</v>
      </c>
      <c r="B47" s="9"/>
      <c r="C47" s="34">
        <v>0</v>
      </c>
      <c r="E47" s="60">
        <v>0</v>
      </c>
      <c r="G47" s="34">
        <v>0</v>
      </c>
      <c r="I47" s="11">
        <f t="shared" si="1"/>
        <v>0</v>
      </c>
    </row>
    <row r="48" spans="1:10" ht="15.75" x14ac:dyDescent="0.3">
      <c r="A48" s="128" t="s">
        <v>193</v>
      </c>
      <c r="B48" s="9"/>
      <c r="C48" s="34">
        <v>0</v>
      </c>
      <c r="E48" s="60">
        <v>0</v>
      </c>
      <c r="G48" s="34">
        <v>0</v>
      </c>
      <c r="I48" s="11">
        <f t="shared" si="1"/>
        <v>0</v>
      </c>
    </row>
    <row r="49" spans="1:9" ht="15.75" x14ac:dyDescent="0.3">
      <c r="A49" s="128" t="s">
        <v>64</v>
      </c>
      <c r="B49" s="9"/>
      <c r="C49" s="34">
        <f>1609.34+3487.65</f>
        <v>5096.99</v>
      </c>
      <c r="E49" s="60">
        <f>3808.4+3162.31+2251.18+712.79</f>
        <v>9934.68</v>
      </c>
      <c r="G49" s="34">
        <v>0</v>
      </c>
      <c r="I49" s="11">
        <f t="shared" si="1"/>
        <v>15031.67</v>
      </c>
    </row>
    <row r="50" spans="1:9" ht="15.75" x14ac:dyDescent="0.3">
      <c r="A50" s="128" t="s">
        <v>151</v>
      </c>
      <c r="B50" s="9"/>
      <c r="C50" s="34">
        <f>1113.09</f>
        <v>1113.0899999999999</v>
      </c>
      <c r="E50" s="60">
        <f>564.22+1092.37+1173.39+3398.24</f>
        <v>6228.2199999999993</v>
      </c>
      <c r="G50" s="34">
        <v>0</v>
      </c>
      <c r="I50" s="11">
        <f t="shared" si="1"/>
        <v>7341.3099999999995</v>
      </c>
    </row>
    <row r="51" spans="1:9" ht="15.75" x14ac:dyDescent="0.3">
      <c r="A51" s="128" t="s">
        <v>170</v>
      </c>
      <c r="B51" s="9"/>
      <c r="C51" s="34">
        <f>3615.64+2470.2+2876.61+5721.27+1748.71+80.86+733.33-793.33+203.03+71.67+56.67</f>
        <v>16784.659999999996</v>
      </c>
      <c r="E51" s="60">
        <v>0</v>
      </c>
      <c r="G51" s="34">
        <f>1491.85</f>
        <v>1491.85</v>
      </c>
      <c r="I51" s="11">
        <f t="shared" si="1"/>
        <v>18276.509999999995</v>
      </c>
    </row>
    <row r="52" spans="1:9" ht="15.75" x14ac:dyDescent="0.3">
      <c r="A52" s="128" t="s">
        <v>169</v>
      </c>
      <c r="B52" s="9"/>
      <c r="C52" s="34">
        <f>-3615.64-126.12-1435.78-1450.28-253.57-1289.87</f>
        <v>-8171.2599999999993</v>
      </c>
      <c r="E52" s="60">
        <f>-3550.05-1748.71-5721.27-1958.54-104.38</f>
        <v>-13082.949999999999</v>
      </c>
      <c r="G52" s="34">
        <f>-918.07</f>
        <v>-918.07</v>
      </c>
      <c r="I52" s="11">
        <f t="shared" si="1"/>
        <v>-22172.28</v>
      </c>
    </row>
    <row r="53" spans="1:9" x14ac:dyDescent="0.25">
      <c r="A53" s="129" t="s">
        <v>229</v>
      </c>
      <c r="B53" s="9"/>
      <c r="C53" s="34">
        <f>1139.69+236.4+32.11+680.37+6.86+0.46+15.76+34.65+388.89+14.49+105.07+413.93+19.44+0.72+5.25+36.67+20.69+194.44+60.42+147.09+398.43+10.39+6.89+15.76+78.69+304.11+0.07+4.28+1.45+0.14+0.42+13.33+1.41+4.83+30.41+133.34+14.06+48.26+716.67+28.68+9.65+6.1+13.61+0.86+0.06+0.3</f>
        <v>5395.6</v>
      </c>
      <c r="E53" s="60">
        <f>56.67+13.89+4.32+10.51+28.46+1101.68+220.64+96.52+145.42+2842.47+1141.07+51.35+12.42+236.4+480.41+2666.67+411.11+105.07+1060.95+216.24+530.47+1333.33+52.53+205.56+25.5+43.33+5.25+0.14+27.78+510.04+105.07+2.82+555.55+866.67+0.94</f>
        <v>15167.25</v>
      </c>
      <c r="G53" s="34">
        <f>600.57+22.77+50.68+236.4+250+1.27+47.28+390+229.52</f>
        <v>1828.49</v>
      </c>
      <c r="I53" s="11">
        <f t="shared" si="1"/>
        <v>22391.34</v>
      </c>
    </row>
    <row r="54" spans="1:9" ht="16.5" x14ac:dyDescent="0.3">
      <c r="A54" s="106" t="s">
        <v>168</v>
      </c>
      <c r="B54" s="9"/>
      <c r="C54" s="34">
        <f>-309.93-22.93-1.42</f>
        <v>-334.28000000000003</v>
      </c>
      <c r="E54" s="60">
        <f>-321.02-172.94-177.61</f>
        <v>-671.56999999999994</v>
      </c>
      <c r="G54" s="34">
        <f>-17.55</f>
        <v>-17.55</v>
      </c>
      <c r="I54" s="11">
        <f t="shared" si="1"/>
        <v>-1023.3999999999999</v>
      </c>
    </row>
    <row r="55" spans="1:9" ht="15.75" x14ac:dyDescent="0.3">
      <c r="A55" s="128" t="s">
        <v>66</v>
      </c>
      <c r="B55" s="9"/>
      <c r="C55" s="34">
        <f>-501.46-149.01-72.97-12.47-143.43-5.68-0.42-34.2-13.38</f>
        <v>-933.0200000000001</v>
      </c>
      <c r="E55" s="60">
        <f>-13.43-10.25-103.6-12.49-478.81-466.81-183.61-70.49-10.33</f>
        <v>-1349.82</v>
      </c>
      <c r="G55" s="34">
        <f>-264.24</f>
        <v>-264.24</v>
      </c>
      <c r="I55" s="11">
        <f t="shared" si="1"/>
        <v>-2547.08</v>
      </c>
    </row>
    <row r="56" spans="1:9" ht="15.75" x14ac:dyDescent="0.3">
      <c r="A56" s="128" t="s">
        <v>198</v>
      </c>
      <c r="B56" s="9"/>
      <c r="C56" s="34">
        <v>0</v>
      </c>
      <c r="E56" s="60">
        <v>0</v>
      </c>
      <c r="G56" s="34">
        <v>0</v>
      </c>
      <c r="I56" s="11">
        <f t="shared" si="1"/>
        <v>0</v>
      </c>
    </row>
    <row r="57" spans="1:9" s="32" customFormat="1" ht="15.75" x14ac:dyDescent="0.3">
      <c r="A57" s="118" t="s">
        <v>32</v>
      </c>
      <c r="C57" s="81">
        <f>SUM(C20:C56)</f>
        <v>60373.919999999984</v>
      </c>
      <c r="E57" s="81">
        <f>SUM(E20:E56)</f>
        <v>66308.850000000006</v>
      </c>
      <c r="G57" s="81">
        <f>SUM(G20:G56)</f>
        <v>51290.640000000014</v>
      </c>
      <c r="I57" s="79">
        <f>SUM(C57+E57+G57)</f>
        <v>177973.41</v>
      </c>
    </row>
    <row r="58" spans="1:9" ht="15.75" x14ac:dyDescent="0.3">
      <c r="A58" s="127" t="s">
        <v>174</v>
      </c>
      <c r="B58" s="9"/>
      <c r="C58" s="34"/>
      <c r="E58" s="60"/>
      <c r="G58" s="34"/>
      <c r="I58" s="76"/>
    </row>
    <row r="59" spans="1:9" ht="15.75" x14ac:dyDescent="0.3">
      <c r="A59" s="130" t="s">
        <v>175</v>
      </c>
      <c r="B59" s="9"/>
      <c r="C59" s="34">
        <f>2400</f>
        <v>2400</v>
      </c>
      <c r="E59" s="60">
        <f>2400</f>
        <v>2400</v>
      </c>
      <c r="G59" s="34">
        <v>0</v>
      </c>
      <c r="I59" s="11">
        <f>SUM(C59+E59+G59)</f>
        <v>4800</v>
      </c>
    </row>
    <row r="60" spans="1:9" ht="15.75" x14ac:dyDescent="0.3">
      <c r="A60" s="130" t="s">
        <v>73</v>
      </c>
      <c r="B60" s="9"/>
      <c r="C60" s="34">
        <f>788</f>
        <v>788</v>
      </c>
      <c r="E60" s="60">
        <f>788</f>
        <v>788</v>
      </c>
      <c r="G60" s="34">
        <v>0</v>
      </c>
      <c r="I60" s="11">
        <f>SUM(C60+E60+G60)</f>
        <v>1576</v>
      </c>
    </row>
    <row r="61" spans="1:9" ht="15.75" x14ac:dyDescent="0.3">
      <c r="A61" s="130"/>
      <c r="B61" s="9"/>
      <c r="C61" s="34"/>
      <c r="E61" s="60"/>
      <c r="G61" s="34"/>
      <c r="I61" s="76"/>
    </row>
    <row r="62" spans="1:9" s="32" customFormat="1" ht="15.75" x14ac:dyDescent="0.3">
      <c r="A62" s="118" t="s">
        <v>32</v>
      </c>
      <c r="C62" s="81">
        <f>SUM(C59:C61)</f>
        <v>3188</v>
      </c>
      <c r="E62" s="81">
        <f>SUM(E59:E60)</f>
        <v>3188</v>
      </c>
      <c r="G62" s="81">
        <f>SUM(G59:G61)</f>
        <v>0</v>
      </c>
      <c r="I62" s="79">
        <f>SUM(I59:I61)</f>
        <v>6376</v>
      </c>
    </row>
    <row r="63" spans="1:9" s="32" customFormat="1" ht="18" x14ac:dyDescent="0.35">
      <c r="A63" s="131" t="s">
        <v>213</v>
      </c>
      <c r="B63" s="9"/>
      <c r="C63" s="69"/>
      <c r="E63" s="69"/>
      <c r="G63" s="69"/>
      <c r="I63" s="76"/>
    </row>
    <row r="64" spans="1:9" s="32" customFormat="1" ht="16.5" x14ac:dyDescent="0.3">
      <c r="A64" s="132" t="s">
        <v>214</v>
      </c>
      <c r="B64" s="9"/>
      <c r="C64" s="60"/>
      <c r="D64" s="61"/>
      <c r="E64" s="60">
        <f>6051.96</f>
        <v>6051.96</v>
      </c>
      <c r="F64" s="61"/>
      <c r="G64" s="60">
        <v>0</v>
      </c>
      <c r="H64" s="61"/>
      <c r="I64" s="76">
        <f>SUM(C64+E64+G64)</f>
        <v>6051.96</v>
      </c>
    </row>
    <row r="65" spans="1:9" s="32" customFormat="1" ht="16.5" x14ac:dyDescent="0.3">
      <c r="A65" s="132" t="s">
        <v>215</v>
      </c>
      <c r="B65" s="9"/>
      <c r="C65" s="60">
        <f>8793.35+6116.57+5851.22</f>
        <v>20761.14</v>
      </c>
      <c r="D65" s="61"/>
      <c r="E65" s="60">
        <f>6177.85</f>
        <v>6177.85</v>
      </c>
      <c r="F65" s="61"/>
      <c r="G65" s="60">
        <v>0</v>
      </c>
      <c r="H65" s="61"/>
      <c r="I65" s="76">
        <f t="shared" ref="I65:I69" si="3">SUM(C65+E65+G65)</f>
        <v>26938.989999999998</v>
      </c>
    </row>
    <row r="66" spans="1:9" s="32" customFormat="1" ht="16.5" x14ac:dyDescent="0.3">
      <c r="A66" s="132" t="s">
        <v>216</v>
      </c>
      <c r="B66" s="9"/>
      <c r="C66" s="60">
        <f>927.87+5059.06+6011.62</f>
        <v>11998.55</v>
      </c>
      <c r="D66" s="61"/>
      <c r="E66" s="60">
        <f>10697.88</f>
        <v>10697.88</v>
      </c>
      <c r="F66" s="61"/>
      <c r="G66" s="60">
        <v>0</v>
      </c>
      <c r="H66" s="61"/>
      <c r="I66" s="76">
        <f t="shared" si="3"/>
        <v>22696.43</v>
      </c>
    </row>
    <row r="67" spans="1:9" s="32" customFormat="1" ht="16.5" x14ac:dyDescent="0.3">
      <c r="A67" s="132" t="s">
        <v>217</v>
      </c>
      <c r="B67" s="9"/>
      <c r="C67" s="60">
        <f>680.59+693.24+305.92+161.8</f>
        <v>1841.55</v>
      </c>
      <c r="D67" s="61"/>
      <c r="E67" s="60">
        <f>731.81</f>
        <v>731.81</v>
      </c>
      <c r="F67" s="61"/>
      <c r="G67" s="60">
        <v>0</v>
      </c>
      <c r="H67" s="61"/>
      <c r="I67" s="76">
        <f t="shared" si="3"/>
        <v>2573.3599999999997</v>
      </c>
    </row>
    <row r="68" spans="1:9" s="32" customFormat="1" ht="16.5" x14ac:dyDescent="0.3">
      <c r="A68" s="132" t="s">
        <v>218</v>
      </c>
      <c r="B68" s="9"/>
      <c r="C68" s="60">
        <f>1053.44+1175.03+2770.74+1497.1</f>
        <v>6496.3099999999995</v>
      </c>
      <c r="D68" s="61"/>
      <c r="E68" s="60">
        <f>1316.74</f>
        <v>1316.74</v>
      </c>
      <c r="F68" s="61"/>
      <c r="G68" s="60">
        <v>0</v>
      </c>
      <c r="H68" s="61"/>
      <c r="I68" s="76">
        <f t="shared" si="3"/>
        <v>7813.0499999999993</v>
      </c>
    </row>
    <row r="69" spans="1:9" s="32" customFormat="1" ht="16.5" x14ac:dyDescent="0.3">
      <c r="A69" s="132" t="s">
        <v>219</v>
      </c>
      <c r="B69" s="9"/>
      <c r="C69" s="60">
        <f>1579.51+812.18+854.57+824.01</f>
        <v>4070.2700000000004</v>
      </c>
      <c r="D69" s="61"/>
      <c r="E69" s="60">
        <f>893.49</f>
        <v>893.49</v>
      </c>
      <c r="F69" s="61"/>
      <c r="G69" s="60">
        <v>0</v>
      </c>
      <c r="H69" s="61"/>
      <c r="I69" s="76">
        <f t="shared" si="3"/>
        <v>4963.76</v>
      </c>
    </row>
    <row r="70" spans="1:9" s="32" customFormat="1" ht="18" x14ac:dyDescent="0.35">
      <c r="A70" s="133" t="s">
        <v>32</v>
      </c>
      <c r="B70" s="3"/>
      <c r="C70" s="81">
        <f>SUM(C64:C69)</f>
        <v>45167.819999999992</v>
      </c>
      <c r="E70" s="81">
        <f>SUM(E64:E69)</f>
        <v>25869.730000000007</v>
      </c>
      <c r="G70" s="81">
        <f>SUM(G64:G69)</f>
        <v>0</v>
      </c>
      <c r="I70" s="79">
        <f>SUM(C70+E70+G70)</f>
        <v>71037.55</v>
      </c>
    </row>
    <row r="71" spans="1:9" s="32" customFormat="1" ht="16.5" x14ac:dyDescent="0.3">
      <c r="A71" s="127" t="s">
        <v>51</v>
      </c>
      <c r="B71" s="9"/>
      <c r="C71" s="69"/>
      <c r="E71" s="69"/>
      <c r="G71" s="69"/>
      <c r="I71" s="93">
        <v>2</v>
      </c>
    </row>
    <row r="72" spans="1:9" s="32" customFormat="1" ht="15.75" x14ac:dyDescent="0.3">
      <c r="A72" s="128" t="s">
        <v>220</v>
      </c>
      <c r="B72" s="9"/>
      <c r="C72" s="1">
        <f>566.3</f>
        <v>566.29999999999995</v>
      </c>
      <c r="D72"/>
      <c r="E72" s="1">
        <f>571.08</f>
        <v>571.08000000000004</v>
      </c>
      <c r="F72"/>
      <c r="G72" s="1">
        <v>0</v>
      </c>
      <c r="H72"/>
      <c r="I72" s="11">
        <f>SUM(C72+E72+G72)</f>
        <v>1137.3800000000001</v>
      </c>
    </row>
    <row r="73" spans="1:9" s="32" customFormat="1" ht="15.75" x14ac:dyDescent="0.3">
      <c r="A73" s="128" t="s">
        <v>221</v>
      </c>
      <c r="B73" s="9"/>
      <c r="C73" s="1">
        <f>612.76</f>
        <v>612.76</v>
      </c>
      <c r="D73"/>
      <c r="E73" s="1">
        <f>618.01</f>
        <v>618.01</v>
      </c>
      <c r="F73"/>
      <c r="G73" s="1">
        <v>0</v>
      </c>
      <c r="H73"/>
      <c r="I73" s="11">
        <f t="shared" ref="I73:I75" si="4">SUM(C73+E73+G73)</f>
        <v>1230.77</v>
      </c>
    </row>
    <row r="74" spans="1:9" s="32" customFormat="1" ht="15.75" x14ac:dyDescent="0.3">
      <c r="A74" s="128" t="s">
        <v>222</v>
      </c>
      <c r="B74" s="9"/>
      <c r="C74" s="1">
        <f>501.17</f>
        <v>501.17</v>
      </c>
      <c r="D74"/>
      <c r="E74" s="1">
        <f>506.18</f>
        <v>506.18</v>
      </c>
      <c r="F74"/>
      <c r="G74" s="1">
        <v>0</v>
      </c>
      <c r="H74"/>
      <c r="I74" s="11">
        <f t="shared" si="4"/>
        <v>1007.35</v>
      </c>
    </row>
    <row r="75" spans="1:9" s="32" customFormat="1" ht="15.75" x14ac:dyDescent="0.3">
      <c r="A75" s="134" t="s">
        <v>32</v>
      </c>
      <c r="B75" s="33"/>
      <c r="C75" s="81">
        <f>SUM(C72:C74)</f>
        <v>1680.23</v>
      </c>
      <c r="E75" s="81">
        <f>SUM(E72:E74)</f>
        <v>1695.2700000000002</v>
      </c>
      <c r="G75" s="81">
        <f>SUM(G72:G74)</f>
        <v>0</v>
      </c>
      <c r="I75" s="11">
        <f t="shared" si="4"/>
        <v>3375.5</v>
      </c>
    </row>
    <row r="76" spans="1:9" ht="15.75" x14ac:dyDescent="0.3">
      <c r="A76" s="127" t="s">
        <v>223</v>
      </c>
      <c r="B76" s="9"/>
      <c r="C76" s="34"/>
      <c r="E76" s="60"/>
      <c r="G76" s="34"/>
      <c r="I76" s="76"/>
    </row>
    <row r="77" spans="1:9" ht="15.75" x14ac:dyDescent="0.3">
      <c r="A77" s="128" t="s">
        <v>224</v>
      </c>
      <c r="B77" s="9"/>
      <c r="C77" s="34">
        <f>6304.81</f>
        <v>6304.81</v>
      </c>
      <c r="E77" s="60">
        <f>6174.81</f>
        <v>6174.81</v>
      </c>
      <c r="G77" s="34">
        <v>0</v>
      </c>
      <c r="I77" s="11">
        <f>SUM(C77+E77+G77)</f>
        <v>12479.62</v>
      </c>
    </row>
    <row r="78" spans="1:9" ht="15.75" x14ac:dyDescent="0.3">
      <c r="A78" s="134" t="s">
        <v>32</v>
      </c>
      <c r="B78" s="32"/>
      <c r="C78" s="81">
        <f>SUM(C77)</f>
        <v>6304.81</v>
      </c>
      <c r="D78" s="32"/>
      <c r="E78" s="81">
        <f>SUM(E77)</f>
        <v>6174.81</v>
      </c>
      <c r="F78" s="32"/>
      <c r="G78" s="81">
        <f>SUM(G77)</f>
        <v>0</v>
      </c>
      <c r="H78" s="32"/>
      <c r="I78" s="11">
        <f>SUM(C78+E78+G78)</f>
        <v>12479.62</v>
      </c>
    </row>
    <row r="79" spans="1:9" ht="15.75" x14ac:dyDescent="0.3">
      <c r="A79" s="127" t="s">
        <v>68</v>
      </c>
      <c r="B79" s="9"/>
      <c r="C79" s="34"/>
      <c r="E79" s="60"/>
      <c r="G79" s="34"/>
      <c r="I79" s="76"/>
    </row>
    <row r="80" spans="1:9" ht="15.75" x14ac:dyDescent="0.3">
      <c r="A80" s="128" t="s">
        <v>112</v>
      </c>
      <c r="B80" s="9"/>
      <c r="C80" s="34">
        <f>5069.5+3325</f>
        <v>8394.5</v>
      </c>
      <c r="E80" s="60">
        <f>19391.13+23281.5+29452.5</f>
        <v>72125.13</v>
      </c>
      <c r="G80" s="34">
        <v>0</v>
      </c>
      <c r="I80" s="11">
        <f>SUM(C80+E80+G80)</f>
        <v>80519.63</v>
      </c>
    </row>
    <row r="81" spans="1:9" ht="15.75" x14ac:dyDescent="0.3">
      <c r="A81" s="128" t="s">
        <v>69</v>
      </c>
      <c r="B81" s="9"/>
      <c r="C81" s="34">
        <f>137.9+1418.55+3440.47+4385.15+7012.5+1080.8</f>
        <v>17475.37</v>
      </c>
      <c r="E81" s="60">
        <f>5236+1702.75+1958.95</f>
        <v>8897.7000000000007</v>
      </c>
      <c r="G81" s="34">
        <v>0</v>
      </c>
      <c r="I81" s="11">
        <f t="shared" ref="I81:I85" si="5">SUM(C81+E81+G81)</f>
        <v>26373.07</v>
      </c>
    </row>
    <row r="82" spans="1:9" ht="15.75" x14ac:dyDescent="0.3">
      <c r="A82" s="128" t="s">
        <v>150</v>
      </c>
      <c r="B82" s="9"/>
      <c r="C82" s="34">
        <f>7635.37+18797.04</f>
        <v>26432.41</v>
      </c>
      <c r="E82" s="60">
        <v>0</v>
      </c>
      <c r="G82" s="34">
        <v>0</v>
      </c>
      <c r="I82" s="11">
        <f t="shared" si="5"/>
        <v>26432.41</v>
      </c>
    </row>
    <row r="83" spans="1:9" ht="15.75" x14ac:dyDescent="0.3">
      <c r="A83" s="128" t="s">
        <v>70</v>
      </c>
      <c r="B83" s="9"/>
      <c r="C83" s="34">
        <v>0</v>
      </c>
      <c r="E83" s="60">
        <v>0</v>
      </c>
      <c r="G83" s="34">
        <v>0</v>
      </c>
      <c r="I83" s="11">
        <f t="shared" si="5"/>
        <v>0</v>
      </c>
    </row>
    <row r="84" spans="1:9" ht="15.75" x14ac:dyDescent="0.3">
      <c r="A84" s="128" t="s">
        <v>71</v>
      </c>
      <c r="B84" s="9"/>
      <c r="C84" s="34">
        <v>0</v>
      </c>
      <c r="E84" s="60">
        <v>0</v>
      </c>
      <c r="G84" s="34">
        <v>0</v>
      </c>
      <c r="I84" s="11">
        <f t="shared" si="5"/>
        <v>0</v>
      </c>
    </row>
    <row r="85" spans="1:9" ht="15.75" x14ac:dyDescent="0.3">
      <c r="A85" s="134" t="s">
        <v>32</v>
      </c>
      <c r="B85" s="32"/>
      <c r="C85" s="81">
        <f>SUM(C80:C84)</f>
        <v>52302.28</v>
      </c>
      <c r="D85" s="32"/>
      <c r="E85" s="81">
        <f>SUM(E80:E84)</f>
        <v>81022.83</v>
      </c>
      <c r="F85" s="32"/>
      <c r="G85" s="81">
        <f>SUM(G80:G84)</f>
        <v>0</v>
      </c>
      <c r="H85" s="32"/>
      <c r="I85" s="11">
        <f t="shared" si="5"/>
        <v>133325.10999999999</v>
      </c>
    </row>
    <row r="86" spans="1:9" ht="15.75" x14ac:dyDescent="0.3">
      <c r="A86" s="135" t="s">
        <v>113</v>
      </c>
      <c r="B86" s="9"/>
      <c r="C86" s="34"/>
      <c r="E86" s="60"/>
      <c r="G86" s="34"/>
      <c r="I86" s="76"/>
    </row>
    <row r="87" spans="1:9" ht="15.75" x14ac:dyDescent="0.3">
      <c r="A87" s="128" t="s">
        <v>114</v>
      </c>
      <c r="B87" s="9"/>
      <c r="C87" s="34">
        <f>523.8</f>
        <v>523.79999999999995</v>
      </c>
      <c r="E87" s="60">
        <v>0</v>
      </c>
      <c r="G87" s="34">
        <v>0</v>
      </c>
      <c r="I87" s="11">
        <f>SUM(C87+E87+G87)</f>
        <v>523.79999999999995</v>
      </c>
    </row>
    <row r="88" spans="1:9" ht="15.75" x14ac:dyDescent="0.3">
      <c r="A88" s="128" t="s">
        <v>116</v>
      </c>
      <c r="B88" s="9"/>
      <c r="C88" s="34">
        <f>3430</f>
        <v>3430</v>
      </c>
      <c r="E88" s="60">
        <v>0</v>
      </c>
      <c r="G88" s="34">
        <v>0</v>
      </c>
      <c r="I88" s="11">
        <f t="shared" ref="I88:I92" si="6">SUM(C88+E88+G88)</f>
        <v>3430</v>
      </c>
    </row>
    <row r="89" spans="1:9" ht="15.75" x14ac:dyDescent="0.3">
      <c r="A89" s="128" t="s">
        <v>117</v>
      </c>
      <c r="B89" s="9"/>
      <c r="C89" s="34">
        <f>3402.34</f>
        <v>3402.34</v>
      </c>
      <c r="E89" s="60">
        <v>0</v>
      </c>
      <c r="G89" s="34">
        <v>0</v>
      </c>
      <c r="I89" s="11">
        <f t="shared" si="6"/>
        <v>3402.34</v>
      </c>
    </row>
    <row r="90" spans="1:9" ht="15.75" x14ac:dyDescent="0.3">
      <c r="A90" s="128" t="s">
        <v>115</v>
      </c>
      <c r="B90" s="9"/>
      <c r="C90" s="34">
        <f>350+330</f>
        <v>680</v>
      </c>
      <c r="E90" s="60">
        <f>180+350</f>
        <v>530</v>
      </c>
      <c r="G90" s="34">
        <v>0</v>
      </c>
      <c r="I90" s="11">
        <f t="shared" si="6"/>
        <v>1210</v>
      </c>
    </row>
    <row r="91" spans="1:9" ht="15.75" x14ac:dyDescent="0.3">
      <c r="A91" s="128" t="s">
        <v>197</v>
      </c>
      <c r="B91" s="9"/>
      <c r="C91" s="34">
        <v>0</v>
      </c>
      <c r="E91" s="60">
        <v>0</v>
      </c>
      <c r="G91" s="34">
        <v>0</v>
      </c>
      <c r="I91" s="11">
        <f t="shared" si="6"/>
        <v>0</v>
      </c>
    </row>
    <row r="92" spans="1:9" ht="15.75" x14ac:dyDescent="0.3">
      <c r="A92" s="134" t="s">
        <v>32</v>
      </c>
      <c r="B92" s="32"/>
      <c r="C92" s="81">
        <f>SUM(C87:C91)</f>
        <v>8036.14</v>
      </c>
      <c r="D92" s="32"/>
      <c r="E92" s="81">
        <f>SUM(E87:E91)</f>
        <v>530</v>
      </c>
      <c r="F92" s="32"/>
      <c r="G92" s="81">
        <f>SUM(G87:G91)</f>
        <v>0</v>
      </c>
      <c r="H92" s="32"/>
      <c r="I92" s="11">
        <f t="shared" si="6"/>
        <v>8566.14</v>
      </c>
    </row>
    <row r="93" spans="1:9" ht="15.75" x14ac:dyDescent="0.3">
      <c r="A93" s="127" t="s">
        <v>88</v>
      </c>
      <c r="B93" s="9"/>
      <c r="C93" s="34"/>
      <c r="E93" s="60"/>
      <c r="G93" s="34"/>
      <c r="I93" s="76"/>
    </row>
    <row r="94" spans="1:9" ht="15.75" x14ac:dyDescent="0.3">
      <c r="A94" s="128" t="s">
        <v>82</v>
      </c>
      <c r="B94" s="9"/>
      <c r="C94" s="34">
        <f>623.02</f>
        <v>623.02</v>
      </c>
      <c r="E94" s="60">
        <f>839.79</f>
        <v>839.79</v>
      </c>
      <c r="G94" s="34">
        <v>0</v>
      </c>
      <c r="I94" s="11">
        <f>SUM(C94+E94+G94)</f>
        <v>1462.81</v>
      </c>
    </row>
    <row r="95" spans="1:9" ht="15.75" x14ac:dyDescent="0.3">
      <c r="A95" s="128" t="s">
        <v>1</v>
      </c>
      <c r="B95" s="9"/>
      <c r="C95" s="34">
        <f>276.7+202.9+180.38+4675.84</f>
        <v>5335.82</v>
      </c>
      <c r="E95" s="60">
        <v>0</v>
      </c>
      <c r="G95" s="34">
        <v>0</v>
      </c>
      <c r="I95" s="11">
        <f t="shared" ref="I95:I128" si="7">SUM(C95+E95+G95)</f>
        <v>5335.82</v>
      </c>
    </row>
    <row r="96" spans="1:9" ht="15.75" x14ac:dyDescent="0.3">
      <c r="A96" s="128" t="s">
        <v>81</v>
      </c>
      <c r="B96" s="9"/>
      <c r="C96" s="34">
        <f>782.92+109.94+1012.88</f>
        <v>1905.7399999999998</v>
      </c>
      <c r="E96" s="60">
        <v>0</v>
      </c>
      <c r="G96" s="34">
        <v>0</v>
      </c>
      <c r="I96" s="11">
        <f t="shared" si="7"/>
        <v>1905.7399999999998</v>
      </c>
    </row>
    <row r="97" spans="1:9" ht="15.75" x14ac:dyDescent="0.3">
      <c r="A97" s="128" t="s">
        <v>89</v>
      </c>
      <c r="B97" s="9"/>
      <c r="C97" s="34">
        <f>391.63+990.2</f>
        <v>1381.83</v>
      </c>
      <c r="E97" s="60">
        <f>874.32+498.28+1010.21+412.71</f>
        <v>2795.52</v>
      </c>
      <c r="G97" s="34">
        <v>0</v>
      </c>
      <c r="I97" s="11">
        <f t="shared" si="7"/>
        <v>4177.3500000000004</v>
      </c>
    </row>
    <row r="98" spans="1:9" ht="15.75" x14ac:dyDescent="0.3">
      <c r="A98" s="128" t="s">
        <v>90</v>
      </c>
      <c r="B98" s="9"/>
      <c r="C98" s="34">
        <f>19.81</f>
        <v>19.809999999999999</v>
      </c>
      <c r="E98" s="60">
        <v>0</v>
      </c>
      <c r="G98" s="34">
        <v>0</v>
      </c>
      <c r="I98" s="11">
        <f t="shared" si="7"/>
        <v>19.809999999999999</v>
      </c>
    </row>
    <row r="99" spans="1:9" ht="15.75" x14ac:dyDescent="0.3">
      <c r="A99" s="128" t="s">
        <v>91</v>
      </c>
      <c r="B99" s="9"/>
      <c r="C99" s="34">
        <f>904.67</f>
        <v>904.67</v>
      </c>
      <c r="E99" s="60">
        <v>0</v>
      </c>
      <c r="G99" s="34">
        <v>0</v>
      </c>
      <c r="I99" s="11">
        <f t="shared" si="7"/>
        <v>904.67</v>
      </c>
    </row>
    <row r="100" spans="1:9" ht="15.75" x14ac:dyDescent="0.3">
      <c r="A100" s="128" t="s">
        <v>92</v>
      </c>
      <c r="B100" s="9"/>
      <c r="C100" s="34">
        <f>1866.44</f>
        <v>1866.44</v>
      </c>
      <c r="E100" s="60">
        <v>0</v>
      </c>
      <c r="G100" s="34">
        <v>0</v>
      </c>
      <c r="I100" s="11">
        <f t="shared" si="7"/>
        <v>1866.44</v>
      </c>
    </row>
    <row r="101" spans="1:9" ht="15.75" x14ac:dyDescent="0.3">
      <c r="A101" s="128" t="s">
        <v>93</v>
      </c>
      <c r="B101" s="9"/>
      <c r="C101" s="34">
        <v>0</v>
      </c>
      <c r="E101" s="60">
        <v>0</v>
      </c>
      <c r="G101" s="34">
        <v>0</v>
      </c>
      <c r="I101" s="11">
        <f t="shared" si="7"/>
        <v>0</v>
      </c>
    </row>
    <row r="102" spans="1:9" ht="16.5" x14ac:dyDescent="0.3">
      <c r="A102" s="106" t="s">
        <v>201</v>
      </c>
      <c r="B102" s="9"/>
      <c r="C102" s="34">
        <f>40+40+40</f>
        <v>120</v>
      </c>
      <c r="E102" s="60">
        <v>0</v>
      </c>
      <c r="G102" s="34">
        <v>0</v>
      </c>
      <c r="I102" s="11">
        <f t="shared" si="7"/>
        <v>120</v>
      </c>
    </row>
    <row r="103" spans="1:9" ht="15.75" x14ac:dyDescent="0.3">
      <c r="A103" s="128" t="s">
        <v>94</v>
      </c>
      <c r="B103" s="9"/>
      <c r="C103" s="34">
        <f>313.65</f>
        <v>313.64999999999998</v>
      </c>
      <c r="E103" s="60">
        <v>0</v>
      </c>
      <c r="G103" s="34">
        <v>0</v>
      </c>
      <c r="I103" s="11">
        <f t="shared" si="7"/>
        <v>313.64999999999998</v>
      </c>
    </row>
    <row r="104" spans="1:9" ht="15.75" x14ac:dyDescent="0.3">
      <c r="A104" s="128" t="s">
        <v>95</v>
      </c>
      <c r="B104" s="9"/>
      <c r="C104" s="34">
        <v>0</v>
      </c>
      <c r="E104" s="60">
        <v>0</v>
      </c>
      <c r="G104" s="34">
        <v>0</v>
      </c>
      <c r="I104" s="11">
        <f t="shared" si="7"/>
        <v>0</v>
      </c>
    </row>
    <row r="105" spans="1:9" ht="15.75" x14ac:dyDescent="0.3">
      <c r="A105" s="128" t="s">
        <v>96</v>
      </c>
      <c r="B105" s="9"/>
      <c r="C105" s="34">
        <v>0</v>
      </c>
      <c r="E105" s="60">
        <v>0</v>
      </c>
      <c r="G105" s="34">
        <v>0</v>
      </c>
      <c r="I105" s="11">
        <f t="shared" si="7"/>
        <v>0</v>
      </c>
    </row>
    <row r="106" spans="1:9" ht="15.75" x14ac:dyDescent="0.3">
      <c r="A106" s="128" t="s">
        <v>97</v>
      </c>
      <c r="B106" s="9"/>
      <c r="C106" s="34">
        <f>83</f>
        <v>83</v>
      </c>
      <c r="E106" s="60">
        <v>0</v>
      </c>
      <c r="G106" s="34">
        <v>0</v>
      </c>
      <c r="I106" s="11">
        <f t="shared" si="7"/>
        <v>83</v>
      </c>
    </row>
    <row r="107" spans="1:9" ht="15.75" x14ac:dyDescent="0.3">
      <c r="A107" s="128" t="s">
        <v>98</v>
      </c>
      <c r="B107" s="9"/>
      <c r="C107" s="34">
        <f>120+1276.44</f>
        <v>1396.44</v>
      </c>
      <c r="E107" s="60">
        <v>0</v>
      </c>
      <c r="G107" s="34">
        <v>0</v>
      </c>
      <c r="I107" s="11">
        <f t="shared" si="7"/>
        <v>1396.44</v>
      </c>
    </row>
    <row r="108" spans="1:9" ht="15.75" x14ac:dyDescent="0.3">
      <c r="A108" s="128" t="s">
        <v>99</v>
      </c>
      <c r="B108" s="9"/>
      <c r="C108" s="34">
        <v>0</v>
      </c>
      <c r="E108" s="60">
        <v>0</v>
      </c>
      <c r="G108" s="34">
        <v>0</v>
      </c>
      <c r="I108" s="11">
        <f t="shared" si="7"/>
        <v>0</v>
      </c>
    </row>
    <row r="109" spans="1:9" ht="15.75" x14ac:dyDescent="0.3">
      <c r="A109" s="128" t="s">
        <v>183</v>
      </c>
      <c r="B109" s="9"/>
      <c r="C109" s="34">
        <f>1607.25</f>
        <v>1607.25</v>
      </c>
      <c r="E109" s="60">
        <v>0</v>
      </c>
      <c r="G109" s="34">
        <v>0</v>
      </c>
      <c r="I109" s="11">
        <f t="shared" si="7"/>
        <v>1607.25</v>
      </c>
    </row>
    <row r="110" spans="1:9" ht="16.5" x14ac:dyDescent="0.3">
      <c r="A110" s="106" t="s">
        <v>196</v>
      </c>
      <c r="B110" s="9"/>
      <c r="C110" s="34">
        <f>971.67</f>
        <v>971.67</v>
      </c>
      <c r="E110" s="60">
        <v>0</v>
      </c>
      <c r="G110" s="34">
        <v>0</v>
      </c>
      <c r="I110" s="11">
        <f t="shared" si="7"/>
        <v>971.67</v>
      </c>
    </row>
    <row r="111" spans="1:9" ht="15.75" x14ac:dyDescent="0.3">
      <c r="A111" s="128" t="s">
        <v>100</v>
      </c>
      <c r="B111" s="9"/>
      <c r="C111" s="34">
        <f>66.7</f>
        <v>66.7</v>
      </c>
      <c r="E111" s="60">
        <f>409</f>
        <v>409</v>
      </c>
      <c r="G111" s="34">
        <v>0</v>
      </c>
      <c r="I111" s="11">
        <f t="shared" si="7"/>
        <v>475.7</v>
      </c>
    </row>
    <row r="112" spans="1:9" ht="15.75" x14ac:dyDescent="0.3">
      <c r="A112" s="128" t="s">
        <v>101</v>
      </c>
      <c r="B112" s="9"/>
      <c r="C112" s="34">
        <f>621</f>
        <v>621</v>
      </c>
      <c r="E112" s="60">
        <f>621</f>
        <v>621</v>
      </c>
      <c r="G112" s="34">
        <v>0</v>
      </c>
      <c r="I112" s="11">
        <f t="shared" si="7"/>
        <v>1242</v>
      </c>
    </row>
    <row r="113" spans="1:9" ht="15.75" x14ac:dyDescent="0.3">
      <c r="A113" s="128" t="s">
        <v>102</v>
      </c>
      <c r="B113" s="9"/>
      <c r="C113" s="34">
        <v>0</v>
      </c>
      <c r="E113" s="60">
        <v>0</v>
      </c>
      <c r="G113" s="34">
        <v>0</v>
      </c>
      <c r="I113" s="11">
        <f t="shared" si="7"/>
        <v>0</v>
      </c>
    </row>
    <row r="114" spans="1:9" ht="15.75" x14ac:dyDescent="0.3">
      <c r="A114" s="128" t="s">
        <v>103</v>
      </c>
      <c r="B114" s="9"/>
      <c r="C114" s="34">
        <f>1178.32</f>
        <v>1178.32</v>
      </c>
      <c r="E114" s="60">
        <f>1150+30.6</f>
        <v>1180.5999999999999</v>
      </c>
      <c r="G114" s="34">
        <v>0</v>
      </c>
      <c r="I114" s="11">
        <f t="shared" si="7"/>
        <v>2358.92</v>
      </c>
    </row>
    <row r="115" spans="1:9" ht="15.75" x14ac:dyDescent="0.3">
      <c r="A115" s="128" t="s">
        <v>182</v>
      </c>
      <c r="B115" s="9"/>
      <c r="C115" s="34">
        <f>458.5+625</f>
        <v>1083.5</v>
      </c>
      <c r="E115" s="60">
        <v>0</v>
      </c>
      <c r="G115" s="34">
        <v>0</v>
      </c>
      <c r="I115" s="11">
        <f t="shared" si="7"/>
        <v>1083.5</v>
      </c>
    </row>
    <row r="116" spans="1:9" ht="15.75" x14ac:dyDescent="0.3">
      <c r="A116" s="128" t="s">
        <v>104</v>
      </c>
      <c r="B116" s="9"/>
      <c r="C116" s="34">
        <v>0</v>
      </c>
      <c r="E116" s="60">
        <v>0</v>
      </c>
      <c r="G116" s="34">
        <v>0</v>
      </c>
      <c r="I116" s="11">
        <f t="shared" si="7"/>
        <v>0</v>
      </c>
    </row>
    <row r="117" spans="1:9" ht="15.75" x14ac:dyDescent="0.3">
      <c r="A117" s="128" t="s">
        <v>105</v>
      </c>
      <c r="B117" s="9"/>
      <c r="C117" s="34">
        <v>0</v>
      </c>
      <c r="E117" s="60">
        <f>330</f>
        <v>330</v>
      </c>
      <c r="G117" s="34">
        <v>0</v>
      </c>
      <c r="I117" s="11">
        <f t="shared" si="7"/>
        <v>330</v>
      </c>
    </row>
    <row r="118" spans="1:9" ht="15.75" x14ac:dyDescent="0.3">
      <c r="A118" s="128" t="s">
        <v>83</v>
      </c>
      <c r="B118" s="9"/>
      <c r="C118" s="34">
        <v>0</v>
      </c>
      <c r="E118" s="60">
        <v>0</v>
      </c>
      <c r="G118" s="34">
        <v>0</v>
      </c>
      <c r="I118" s="11">
        <f t="shared" si="7"/>
        <v>0</v>
      </c>
    </row>
    <row r="119" spans="1:9" ht="15.75" x14ac:dyDescent="0.3">
      <c r="A119" s="130" t="s">
        <v>67</v>
      </c>
      <c r="B119" s="9"/>
      <c r="C119" s="34">
        <v>0</v>
      </c>
      <c r="E119" s="60">
        <v>0</v>
      </c>
      <c r="G119" s="34">
        <v>0</v>
      </c>
      <c r="I119" s="11">
        <f t="shared" si="7"/>
        <v>0</v>
      </c>
    </row>
    <row r="120" spans="1:9" ht="15.75" x14ac:dyDescent="0.3">
      <c r="A120" s="128" t="s">
        <v>61</v>
      </c>
      <c r="B120" s="9"/>
      <c r="C120" s="34">
        <v>0</v>
      </c>
      <c r="E120" s="60">
        <v>0</v>
      </c>
      <c r="G120" s="34">
        <v>0</v>
      </c>
      <c r="I120" s="11">
        <f t="shared" si="7"/>
        <v>0</v>
      </c>
    </row>
    <row r="121" spans="1:9" ht="15.75" x14ac:dyDescent="0.3">
      <c r="A121" s="130" t="s">
        <v>72</v>
      </c>
      <c r="B121" s="9"/>
      <c r="C121" s="34">
        <v>0</v>
      </c>
      <c r="E121" s="60">
        <v>0</v>
      </c>
      <c r="G121" s="34">
        <v>0</v>
      </c>
      <c r="I121" s="11">
        <f t="shared" si="7"/>
        <v>0</v>
      </c>
    </row>
    <row r="122" spans="1:9" ht="15.75" x14ac:dyDescent="0.3">
      <c r="A122" s="128" t="s">
        <v>73</v>
      </c>
      <c r="B122" s="9"/>
      <c r="C122" s="34">
        <v>0</v>
      </c>
      <c r="E122" s="60">
        <v>0</v>
      </c>
      <c r="G122" s="34">
        <v>0</v>
      </c>
      <c r="I122" s="11">
        <f t="shared" si="7"/>
        <v>0</v>
      </c>
    </row>
    <row r="123" spans="1:9" ht="15.75" x14ac:dyDescent="0.3">
      <c r="A123" s="128" t="s">
        <v>74</v>
      </c>
      <c r="B123" s="9"/>
      <c r="C123" s="34">
        <v>0</v>
      </c>
      <c r="E123" s="60">
        <v>0</v>
      </c>
      <c r="G123" s="34">
        <v>0</v>
      </c>
      <c r="I123" s="11">
        <f t="shared" si="7"/>
        <v>0</v>
      </c>
    </row>
    <row r="124" spans="1:9" ht="15.75" x14ac:dyDescent="0.3">
      <c r="A124" s="130" t="s">
        <v>75</v>
      </c>
      <c r="B124" s="9"/>
      <c r="C124" s="34">
        <v>0</v>
      </c>
      <c r="E124" s="60">
        <v>0</v>
      </c>
      <c r="G124" s="34">
        <v>0</v>
      </c>
      <c r="I124" s="11">
        <f t="shared" si="7"/>
        <v>0</v>
      </c>
    </row>
    <row r="125" spans="1:9" ht="15.75" x14ac:dyDescent="0.3">
      <c r="A125" s="130" t="s">
        <v>119</v>
      </c>
      <c r="B125" s="9"/>
      <c r="C125" s="34">
        <v>0</v>
      </c>
      <c r="E125" s="60">
        <f>1969.94+9989.64</f>
        <v>11959.58</v>
      </c>
      <c r="G125" s="34">
        <v>0</v>
      </c>
      <c r="I125" s="11">
        <f t="shared" si="7"/>
        <v>11959.58</v>
      </c>
    </row>
    <row r="126" spans="1:9" ht="15.75" x14ac:dyDescent="0.3">
      <c r="A126" s="130" t="s">
        <v>195</v>
      </c>
      <c r="B126" s="9"/>
      <c r="C126" s="34">
        <f>1249.61</f>
        <v>1249.6099999999999</v>
      </c>
      <c r="E126" s="60">
        <f>1246.7</f>
        <v>1246.7</v>
      </c>
      <c r="G126" s="34">
        <v>0</v>
      </c>
      <c r="I126" s="11">
        <f t="shared" si="7"/>
        <v>2496.31</v>
      </c>
    </row>
    <row r="127" spans="1:9" ht="15.75" x14ac:dyDescent="0.3">
      <c r="A127" s="128" t="s">
        <v>63</v>
      </c>
      <c r="B127" s="9"/>
      <c r="C127" s="34">
        <f>368.32+362.15+153.69+504.73+701.85</f>
        <v>2090.7400000000002</v>
      </c>
      <c r="E127" s="60">
        <f>668.43+311.87+362.15+1000.25+1000.25</f>
        <v>3342.95</v>
      </c>
      <c r="G127" s="34">
        <v>0</v>
      </c>
      <c r="I127" s="11">
        <f t="shared" si="7"/>
        <v>5433.6900000000005</v>
      </c>
    </row>
    <row r="128" spans="1:9" ht="15.75" x14ac:dyDescent="0.3">
      <c r="A128" s="134" t="s">
        <v>32</v>
      </c>
      <c r="B128" s="32"/>
      <c r="C128" s="81">
        <f>SUM(C94:C127)</f>
        <v>22819.210000000003</v>
      </c>
      <c r="D128" s="32"/>
      <c r="E128" s="81">
        <f>SUM(E94:E127)</f>
        <v>22725.14</v>
      </c>
      <c r="F128" s="32"/>
      <c r="G128" s="81">
        <f>SUM(G94:G127)</f>
        <v>0</v>
      </c>
      <c r="H128" s="32"/>
      <c r="I128" s="11">
        <f t="shared" si="7"/>
        <v>45544.350000000006</v>
      </c>
    </row>
    <row r="129" spans="1:9" ht="15.75" x14ac:dyDescent="0.3">
      <c r="A129" s="127" t="s">
        <v>76</v>
      </c>
      <c r="B129" s="9"/>
      <c r="C129" s="34"/>
      <c r="E129" s="60"/>
      <c r="G129" s="34"/>
      <c r="I129" s="76"/>
    </row>
    <row r="130" spans="1:9" ht="15.75" x14ac:dyDescent="0.3">
      <c r="A130" s="130" t="s">
        <v>123</v>
      </c>
      <c r="B130" s="9"/>
      <c r="C130" s="34">
        <f>293.43</f>
        <v>293.43</v>
      </c>
      <c r="E130" s="60">
        <f>242.72</f>
        <v>242.72</v>
      </c>
      <c r="G130" s="34">
        <v>0</v>
      </c>
      <c r="I130" s="11">
        <f>SUM(C130+E130+G130)</f>
        <v>536.15</v>
      </c>
    </row>
    <row r="131" spans="1:9" ht="15.75" x14ac:dyDescent="0.3">
      <c r="A131" s="130" t="s">
        <v>124</v>
      </c>
      <c r="B131" s="9"/>
      <c r="C131" s="34">
        <f>932+219.38+138.85+752.88</f>
        <v>2043.1100000000001</v>
      </c>
      <c r="E131" s="60">
        <f>740+22.6+667.6+71.48+113.15+129.82+45.53+75.52+5.94+80.79+50.8+250.74+100.95+783.5+1386.92+185.97+305.66+762.6</f>
        <v>5779.5700000000006</v>
      </c>
      <c r="G131" s="34">
        <v>0</v>
      </c>
      <c r="I131" s="11">
        <f t="shared" ref="I131:I135" si="8">SUM(C131+E131+G131)</f>
        <v>7822.68</v>
      </c>
    </row>
    <row r="132" spans="1:9" ht="15.75" x14ac:dyDescent="0.3">
      <c r="A132" s="130" t="s">
        <v>128</v>
      </c>
      <c r="B132" s="9"/>
      <c r="C132" s="34">
        <f>608.83</f>
        <v>608.83000000000004</v>
      </c>
      <c r="E132" s="60">
        <f>534.21</f>
        <v>534.21</v>
      </c>
      <c r="G132" s="34">
        <v>0</v>
      </c>
      <c r="I132" s="11">
        <f t="shared" si="8"/>
        <v>1143.04</v>
      </c>
    </row>
    <row r="133" spans="1:9" ht="15.75" x14ac:dyDescent="0.3">
      <c r="A133" s="130" t="s">
        <v>125</v>
      </c>
      <c r="B133" s="9"/>
      <c r="C133" s="34">
        <v>0</v>
      </c>
      <c r="E133" s="60">
        <f>4.95+305.66</f>
        <v>310.61</v>
      </c>
      <c r="G133" s="34">
        <v>0</v>
      </c>
      <c r="I133" s="11">
        <f t="shared" si="8"/>
        <v>310.61</v>
      </c>
    </row>
    <row r="134" spans="1:9" ht="15.75" x14ac:dyDescent="0.3">
      <c r="A134" s="130" t="s">
        <v>126</v>
      </c>
      <c r="B134" s="9"/>
      <c r="C134" s="34">
        <f>17.7+15+4.5</f>
        <v>37.200000000000003</v>
      </c>
      <c r="E134" s="60">
        <f>97.79+24.31+131.8</f>
        <v>253.90000000000003</v>
      </c>
      <c r="G134" s="34">
        <v>0</v>
      </c>
      <c r="I134" s="11">
        <f t="shared" si="8"/>
        <v>291.10000000000002</v>
      </c>
    </row>
    <row r="135" spans="1:9" ht="15.75" x14ac:dyDescent="0.3">
      <c r="A135" s="134" t="s">
        <v>32</v>
      </c>
      <c r="B135" s="32"/>
      <c r="C135" s="81">
        <f>SUM(C130:C134)</f>
        <v>2982.5699999999997</v>
      </c>
      <c r="D135" s="32"/>
      <c r="E135" s="81">
        <f>SUM(E130:E134)</f>
        <v>7121.01</v>
      </c>
      <c r="F135" s="32"/>
      <c r="G135" s="81">
        <f>SUM(G130:G134)</f>
        <v>0</v>
      </c>
      <c r="H135" s="32"/>
      <c r="I135" s="11">
        <f t="shared" si="8"/>
        <v>10103.58</v>
      </c>
    </row>
    <row r="136" spans="1:9" ht="15.75" x14ac:dyDescent="0.3">
      <c r="A136" s="127" t="s">
        <v>152</v>
      </c>
      <c r="B136" s="9"/>
      <c r="C136" s="69"/>
      <c r="E136" s="60"/>
      <c r="G136" s="69"/>
      <c r="I136" s="76"/>
    </row>
    <row r="137" spans="1:9" ht="15.75" x14ac:dyDescent="0.3">
      <c r="A137" s="130" t="s">
        <v>140</v>
      </c>
      <c r="B137" s="9"/>
      <c r="C137" s="34">
        <f>613.54+25.58+17.72+39.92</f>
        <v>696.76</v>
      </c>
      <c r="E137" s="60">
        <f>296.76+159.31+165.6</f>
        <v>621.66999999999996</v>
      </c>
      <c r="G137" s="34">
        <v>0</v>
      </c>
      <c r="I137" s="11">
        <f>SUM(C137+E137+G137)</f>
        <v>1318.4299999999998</v>
      </c>
    </row>
    <row r="138" spans="1:9" ht="15.75" x14ac:dyDescent="0.3">
      <c r="A138" s="130" t="s">
        <v>141</v>
      </c>
      <c r="B138" s="9"/>
      <c r="C138" s="34">
        <f>144+1570.37</f>
        <v>1714.37</v>
      </c>
      <c r="E138" s="60">
        <v>0</v>
      </c>
      <c r="G138" s="34">
        <v>0</v>
      </c>
      <c r="I138" s="11">
        <f t="shared" ref="I138:I140" si="9">SUM(C138+E138+G138)</f>
        <v>1714.37</v>
      </c>
    </row>
    <row r="139" spans="1:9" ht="15.75" x14ac:dyDescent="0.3">
      <c r="A139" s="130" t="s">
        <v>78</v>
      </c>
      <c r="B139" s="9"/>
      <c r="C139" s="34">
        <v>0</v>
      </c>
      <c r="E139" s="60">
        <v>0</v>
      </c>
      <c r="G139" s="34">
        <v>0</v>
      </c>
      <c r="I139" s="11">
        <f t="shared" si="9"/>
        <v>0</v>
      </c>
    </row>
    <row r="140" spans="1:9" ht="15.75" x14ac:dyDescent="0.3">
      <c r="A140" s="130"/>
      <c r="B140" s="32"/>
      <c r="C140" s="81">
        <f>SUM(C137:C139)</f>
        <v>2411.13</v>
      </c>
      <c r="D140" s="32"/>
      <c r="E140" s="81">
        <f>SUM(E137:E138)</f>
        <v>621.66999999999996</v>
      </c>
      <c r="F140" s="32"/>
      <c r="G140" s="81">
        <f>SUM(G137:G139)</f>
        <v>0</v>
      </c>
      <c r="H140" s="32"/>
      <c r="I140" s="11">
        <f t="shared" si="9"/>
        <v>3032.8</v>
      </c>
    </row>
    <row r="141" spans="1:9" ht="15.75" x14ac:dyDescent="0.3">
      <c r="A141" s="130"/>
      <c r="B141" s="32"/>
      <c r="C141" s="69"/>
      <c r="D141" s="32"/>
      <c r="E141" s="69"/>
      <c r="F141" s="32"/>
      <c r="G141" s="69"/>
      <c r="H141" s="32"/>
      <c r="I141" s="76"/>
    </row>
    <row r="142" spans="1:9" ht="16.5" x14ac:dyDescent="0.3">
      <c r="A142" s="127" t="s">
        <v>127</v>
      </c>
      <c r="B142" s="9"/>
      <c r="C142" s="34"/>
      <c r="E142" s="60"/>
      <c r="G142" s="34"/>
      <c r="I142" s="93">
        <v>3</v>
      </c>
    </row>
    <row r="143" spans="1:9" ht="15.75" x14ac:dyDescent="0.3">
      <c r="A143" s="130" t="s">
        <v>226</v>
      </c>
      <c r="B143" s="9"/>
      <c r="C143" s="34">
        <f>34.93+6.85+9.98+2754.44</f>
        <v>2806.2000000000003</v>
      </c>
      <c r="E143" s="60">
        <f>5456.74+87.52+5354.02+17.85</f>
        <v>10916.130000000001</v>
      </c>
      <c r="G143" s="34">
        <v>0</v>
      </c>
      <c r="I143" s="11">
        <f>SUM(C143+E143+G143)</f>
        <v>13722.330000000002</v>
      </c>
    </row>
    <row r="144" spans="1:9" ht="15.75" x14ac:dyDescent="0.3">
      <c r="A144" s="130" t="s">
        <v>234</v>
      </c>
      <c r="B144" s="9"/>
      <c r="C144" s="34">
        <f>2025</f>
        <v>2025</v>
      </c>
      <c r="E144" s="60">
        <v>0</v>
      </c>
      <c r="G144" s="34">
        <v>0</v>
      </c>
      <c r="I144" s="11">
        <f t="shared" ref="I144:I145" si="10">SUM(C144+E144+G144)</f>
        <v>2025</v>
      </c>
    </row>
    <row r="145" spans="1:9" ht="15.75" x14ac:dyDescent="0.3">
      <c r="A145" s="134" t="s">
        <v>32</v>
      </c>
      <c r="B145" s="32"/>
      <c r="C145" s="81">
        <f>SUM(C143:C144)</f>
        <v>4831.2000000000007</v>
      </c>
      <c r="D145" s="32"/>
      <c r="E145" s="81">
        <f>SUM(E143:E144)</f>
        <v>10916.130000000001</v>
      </c>
      <c r="F145" s="32"/>
      <c r="G145" s="81">
        <f>SUM(G143:G144)</f>
        <v>0</v>
      </c>
      <c r="H145" s="32"/>
      <c r="I145" s="11">
        <f t="shared" si="10"/>
        <v>15747.330000000002</v>
      </c>
    </row>
    <row r="146" spans="1:9" ht="15.75" x14ac:dyDescent="0.3">
      <c r="A146" s="127" t="s">
        <v>154</v>
      </c>
      <c r="B146" s="9"/>
      <c r="C146" s="34"/>
      <c r="E146" s="60"/>
      <c r="G146" s="34"/>
      <c r="I146" s="76"/>
    </row>
    <row r="147" spans="1:9" ht="15.75" x14ac:dyDescent="0.3">
      <c r="A147" s="130" t="s">
        <v>80</v>
      </c>
      <c r="B147" s="9"/>
      <c r="C147" s="34">
        <f>291.78+516</f>
        <v>807.78</v>
      </c>
      <c r="E147" s="60">
        <v>0</v>
      </c>
      <c r="G147" s="34">
        <v>0</v>
      </c>
      <c r="I147" s="11">
        <f>SUM(C147+E147+G147)</f>
        <v>807.78</v>
      </c>
    </row>
    <row r="148" spans="1:9" ht="15.75" x14ac:dyDescent="0.3">
      <c r="A148" s="130" t="s">
        <v>79</v>
      </c>
      <c r="B148" s="9"/>
      <c r="C148" s="34">
        <f>47.94+7.48</f>
        <v>55.42</v>
      </c>
      <c r="E148" s="60">
        <f>690.25</f>
        <v>690.25</v>
      </c>
      <c r="G148" s="34">
        <v>0</v>
      </c>
      <c r="I148" s="11">
        <f t="shared" ref="I148:I151" si="11">SUM(C148+E148+G148)</f>
        <v>745.67</v>
      </c>
    </row>
    <row r="149" spans="1:9" ht="15.75" x14ac:dyDescent="0.3">
      <c r="A149" s="128" t="s">
        <v>129</v>
      </c>
      <c r="B149" s="9"/>
      <c r="C149" s="34">
        <f>1700</f>
        <v>1700</v>
      </c>
      <c r="E149" s="60">
        <v>0</v>
      </c>
      <c r="G149" s="34">
        <v>0</v>
      </c>
      <c r="I149" s="11">
        <f t="shared" si="11"/>
        <v>1700</v>
      </c>
    </row>
    <row r="150" spans="1:9" ht="15.75" x14ac:dyDescent="0.3">
      <c r="A150" s="128" t="s">
        <v>227</v>
      </c>
      <c r="B150" s="9"/>
      <c r="C150" s="34">
        <v>1500</v>
      </c>
      <c r="E150" s="60">
        <v>1500</v>
      </c>
      <c r="G150" s="34">
        <v>0</v>
      </c>
      <c r="I150" s="11">
        <f t="shared" si="11"/>
        <v>3000</v>
      </c>
    </row>
    <row r="151" spans="1:9" ht="15.75" x14ac:dyDescent="0.3">
      <c r="A151" s="134" t="s">
        <v>32</v>
      </c>
      <c r="B151" s="32"/>
      <c r="C151" s="81">
        <f>SUM(C147:C150)</f>
        <v>4063.2</v>
      </c>
      <c r="D151" s="32"/>
      <c r="E151" s="81">
        <f>SUM(E147:E150)</f>
        <v>2190.25</v>
      </c>
      <c r="F151" s="32"/>
      <c r="G151" s="81">
        <f>SUM(G147:G150)</f>
        <v>0</v>
      </c>
      <c r="H151" s="32"/>
      <c r="I151" s="11">
        <f t="shared" si="11"/>
        <v>6253.45</v>
      </c>
    </row>
    <row r="152" spans="1:9" ht="15.75" x14ac:dyDescent="0.3">
      <c r="A152" s="127" t="s">
        <v>84</v>
      </c>
      <c r="B152" s="9"/>
      <c r="C152" s="34"/>
      <c r="D152" s="31"/>
      <c r="E152" s="78"/>
      <c r="F152" s="31"/>
      <c r="G152" s="34"/>
      <c r="H152" s="31"/>
      <c r="I152" s="76"/>
    </row>
    <row r="153" spans="1:9" ht="15.75" x14ac:dyDescent="0.3">
      <c r="A153" s="128" t="s">
        <v>85</v>
      </c>
      <c r="B153" s="9"/>
      <c r="C153" s="34">
        <f>20.3+41.4+1.7+22.1+4+6.8+1.7+2+1.7+0.85+2+0.85+66+0.85+29.9+6.45+4.2+2.55+12+0.85+0.85+0.85+13.6+16+1.7+22+0.85+2+2+2+1.7+2+2+2.55+2+1.7+0.85+2+38+27+0.85+2+2+0.85</f>
        <v>375.55</v>
      </c>
      <c r="E153" s="60">
        <f>21.9+41.4+2+0.85+2+2+2+2.55+2+2+2+2+8.39+5.57+7.71+29.9+40+0.85+4.2+0.85+121.62+2+2+2+2+2+2+2+2+2+2+2+1.7+29+2+2+2+2+0.85+0.85+2+2+2+2+2+44.2+35.27</f>
        <v>453.65999999999997</v>
      </c>
      <c r="G153" s="34">
        <f>4.2+29</f>
        <v>33.200000000000003</v>
      </c>
      <c r="I153" s="11">
        <f>SUM(C153:H153)</f>
        <v>862.41000000000008</v>
      </c>
    </row>
    <row r="154" spans="1:9" ht="15.75" x14ac:dyDescent="0.3">
      <c r="A154" s="128" t="s">
        <v>86</v>
      </c>
      <c r="B154" s="9"/>
      <c r="C154" s="34">
        <v>0</v>
      </c>
      <c r="E154" s="60">
        <v>0</v>
      </c>
      <c r="G154" s="34">
        <v>0</v>
      </c>
      <c r="I154" s="11">
        <f>SUM(C154:H154)</f>
        <v>0</v>
      </c>
    </row>
    <row r="155" spans="1:9" ht="15.75" x14ac:dyDescent="0.3">
      <c r="A155" s="128" t="s">
        <v>200</v>
      </c>
      <c r="B155" s="9"/>
      <c r="C155" s="34">
        <v>0</v>
      </c>
      <c r="E155" s="60">
        <v>0</v>
      </c>
      <c r="G155" s="34">
        <v>0</v>
      </c>
      <c r="I155" s="11">
        <f>SUM(C155:H155)</f>
        <v>0</v>
      </c>
    </row>
    <row r="156" spans="1:9" ht="15.75" x14ac:dyDescent="0.3">
      <c r="A156" s="128" t="s">
        <v>87</v>
      </c>
      <c r="B156" s="9"/>
      <c r="C156" s="34">
        <f>393.64</f>
        <v>393.64</v>
      </c>
      <c r="E156" s="60">
        <v>0</v>
      </c>
      <c r="G156" s="34">
        <v>0</v>
      </c>
      <c r="I156" s="11">
        <f>SUM(C156:H156)</f>
        <v>393.64</v>
      </c>
    </row>
    <row r="157" spans="1:9" ht="15.75" x14ac:dyDescent="0.3">
      <c r="A157" s="134" t="s">
        <v>32</v>
      </c>
      <c r="B157" s="32"/>
      <c r="C157" s="81">
        <f>SUM(C152:C156)</f>
        <v>769.19</v>
      </c>
      <c r="D157" s="32"/>
      <c r="E157" s="81">
        <f>SUM(E152:E156)</f>
        <v>453.65999999999997</v>
      </c>
      <c r="F157" s="32"/>
      <c r="G157" s="81">
        <f>SUM(G152:G156)</f>
        <v>33.200000000000003</v>
      </c>
      <c r="H157" s="32"/>
      <c r="I157" s="11">
        <f>SUM(C157:H157)</f>
        <v>1256.05</v>
      </c>
    </row>
    <row r="158" spans="1:9" s="31" customFormat="1" ht="15.75" x14ac:dyDescent="0.3">
      <c r="A158" s="118"/>
      <c r="B158" s="32"/>
      <c r="C158" s="69"/>
      <c r="D158" s="32"/>
      <c r="E158" s="69"/>
      <c r="F158" s="32"/>
      <c r="G158" s="69"/>
      <c r="H158" s="32"/>
      <c r="I158" s="76"/>
    </row>
    <row r="159" spans="1:9" ht="15.75" x14ac:dyDescent="0.3">
      <c r="A159" s="134" t="s">
        <v>32</v>
      </c>
      <c r="B159" s="32"/>
      <c r="C159" s="81">
        <f>SUM(C157+C151+C145+C140+C135+C128+C92+C85+C78+C75+C70+C62+C57)</f>
        <v>214929.69999999995</v>
      </c>
      <c r="D159" s="32"/>
      <c r="E159" s="81">
        <f>SUM(E157+E151+E145+E140+E135+E128+E92+E85+E78+E75+E70+E62+E57)</f>
        <v>228817.35</v>
      </c>
      <c r="F159" s="32"/>
      <c r="G159" s="81">
        <f>SUM(G157+G151+G145+G140+G135+G128+G92+G85+G78+G75+G70+G62+G57)</f>
        <v>51323.840000000011</v>
      </c>
      <c r="H159" s="32"/>
      <c r="I159" s="79">
        <f>SUM(I57+I62+I70+I75+I78+I85+I92+I128+I135+I140+I145+I151+I157)</f>
        <v>495070.89000000007</v>
      </c>
    </row>
    <row r="160" spans="1:9" s="31" customFormat="1" ht="15.75" x14ac:dyDescent="0.3">
      <c r="A160" s="118"/>
      <c r="B160" s="32"/>
      <c r="C160" s="69"/>
      <c r="D160" s="32"/>
      <c r="E160" s="69"/>
      <c r="F160" s="32"/>
      <c r="G160" s="69"/>
      <c r="H160" s="32"/>
      <c r="I160" s="76"/>
    </row>
    <row r="161" spans="1:9" s="31" customFormat="1" ht="15.75" hidden="1" x14ac:dyDescent="0.3">
      <c r="A161" s="119" t="s">
        <v>176</v>
      </c>
      <c r="B161" s="32"/>
      <c r="C161" s="34"/>
      <c r="E161" s="78"/>
      <c r="G161" s="34"/>
      <c r="I161" s="76"/>
    </row>
    <row r="162" spans="1:9" s="31" customFormat="1" ht="15.75" hidden="1" x14ac:dyDescent="0.3">
      <c r="A162" s="120" t="s">
        <v>178</v>
      </c>
      <c r="B162" s="32"/>
      <c r="C162" s="34">
        <f>1850</f>
        <v>1850</v>
      </c>
      <c r="E162" s="78">
        <f>13031.55+2000</f>
        <v>15031.55</v>
      </c>
      <c r="G162" s="34">
        <v>0</v>
      </c>
      <c r="I162" s="76" t="e">
        <f>SUM(C162+E162+G162+#REF!+#REF!)</f>
        <v>#REF!</v>
      </c>
    </row>
    <row r="163" spans="1:9" s="31" customFormat="1" ht="15.75" hidden="1" x14ac:dyDescent="0.3">
      <c r="A163" s="120" t="s">
        <v>177</v>
      </c>
      <c r="B163" s="32"/>
      <c r="C163" s="34">
        <v>0</v>
      </c>
      <c r="E163" s="78">
        <v>0</v>
      </c>
      <c r="G163" s="34">
        <v>0</v>
      </c>
      <c r="I163" s="76" t="e">
        <f>SUM(C163+E163+G163+#REF!+#REF!)</f>
        <v>#REF!</v>
      </c>
    </row>
    <row r="164" spans="1:9" s="31" customFormat="1" ht="15.75" hidden="1" x14ac:dyDescent="0.3">
      <c r="A164" s="120" t="s">
        <v>228</v>
      </c>
      <c r="B164" s="32"/>
      <c r="C164" s="34">
        <v>0</v>
      </c>
      <c r="E164" s="78">
        <v>0</v>
      </c>
      <c r="G164" s="34">
        <v>0</v>
      </c>
      <c r="I164" s="76" t="e">
        <f>SUM(C164+E164+G164+#REF!+#REF!)</f>
        <v>#REF!</v>
      </c>
    </row>
    <row r="165" spans="1:9" s="31" customFormat="1" ht="15.75" hidden="1" x14ac:dyDescent="0.3">
      <c r="A165" s="120" t="s">
        <v>192</v>
      </c>
      <c r="B165" s="32"/>
      <c r="C165" s="34">
        <v>0</v>
      </c>
      <c r="E165" s="78">
        <v>0</v>
      </c>
      <c r="G165" s="34">
        <v>0</v>
      </c>
      <c r="I165" s="76" t="e">
        <f>SUM(C165+E165+G165+#REF!+#REF!)</f>
        <v>#REF!</v>
      </c>
    </row>
    <row r="166" spans="1:9" s="31" customFormat="1" ht="15.75" hidden="1" x14ac:dyDescent="0.3">
      <c r="A166" s="120" t="s">
        <v>184</v>
      </c>
      <c r="B166" s="32"/>
      <c r="C166" s="34">
        <v>0</v>
      </c>
      <c r="E166" s="78">
        <v>0</v>
      </c>
      <c r="G166" s="34">
        <v>0</v>
      </c>
      <c r="I166" s="76" t="e">
        <f>SUM(C166+E166+G166+#REF!+#REF!)</f>
        <v>#REF!</v>
      </c>
    </row>
    <row r="167" spans="1:9" s="31" customFormat="1" ht="15.75" hidden="1" x14ac:dyDescent="0.3">
      <c r="A167" s="120" t="s">
        <v>180</v>
      </c>
      <c r="B167" s="32"/>
      <c r="C167" s="34">
        <v>0</v>
      </c>
      <c r="E167" s="78">
        <v>0</v>
      </c>
      <c r="G167" s="34">
        <v>0</v>
      </c>
      <c r="I167" s="76" t="e">
        <f>SUM(C167+E167+G167+#REF!+#REF!)</f>
        <v>#REF!</v>
      </c>
    </row>
    <row r="168" spans="1:9" s="31" customFormat="1" ht="15.75" hidden="1" x14ac:dyDescent="0.3">
      <c r="A168" s="120" t="s">
        <v>194</v>
      </c>
      <c r="B168" s="32"/>
      <c r="C168" s="34">
        <v>0</v>
      </c>
      <c r="E168" s="78">
        <v>0</v>
      </c>
      <c r="G168" s="34">
        <v>0</v>
      </c>
      <c r="I168" s="76" t="e">
        <f>SUM(C168+E168+G168+#REF!+#REF!)</f>
        <v>#REF!</v>
      </c>
    </row>
    <row r="169" spans="1:9" s="31" customFormat="1" ht="15.75" hidden="1" x14ac:dyDescent="0.3">
      <c r="A169" s="120" t="s">
        <v>203</v>
      </c>
      <c r="B169" s="32"/>
      <c r="C169" s="34">
        <f>1426.35</f>
        <v>1426.35</v>
      </c>
      <c r="E169" s="78">
        <v>0</v>
      </c>
      <c r="G169" s="34">
        <v>0</v>
      </c>
      <c r="I169" s="76" t="e">
        <f>SUM(C169+E169+G169+#REF!+#REF!)</f>
        <v>#REF!</v>
      </c>
    </row>
    <row r="170" spans="1:9" s="31" customFormat="1" ht="15.75" hidden="1" x14ac:dyDescent="0.3">
      <c r="A170" s="118" t="s">
        <v>32</v>
      </c>
      <c r="B170" s="32"/>
      <c r="C170" s="69">
        <f>SUM(C162:C169)</f>
        <v>3276.35</v>
      </c>
      <c r="D170" s="32"/>
      <c r="E170" s="69">
        <f>SUM(E162:E169)</f>
        <v>15031.55</v>
      </c>
      <c r="F170" s="32"/>
      <c r="G170" s="69">
        <f>SUM(G162:G169)</f>
        <v>0</v>
      </c>
      <c r="H170" s="32"/>
      <c r="I170" s="76" t="e">
        <f>SUM(C170+E170+G170+#REF!+#REF!)</f>
        <v>#REF!</v>
      </c>
    </row>
    <row r="171" spans="1:9" s="31" customFormat="1" hidden="1" x14ac:dyDescent="0.25">
      <c r="A171" s="121"/>
      <c r="E171" s="80"/>
    </row>
    <row r="172" spans="1:9" s="31" customFormat="1" ht="15.75" hidden="1" x14ac:dyDescent="0.3">
      <c r="A172" s="118" t="s">
        <v>32</v>
      </c>
      <c r="B172" s="32"/>
      <c r="C172" s="69">
        <f>SUM(C170+C157+C151+C145+C140+C135+C128+C92+C85+C78+C75+C70+C62+C57)</f>
        <v>218206.05</v>
      </c>
      <c r="D172" s="32"/>
      <c r="E172" s="69">
        <f>SUM(E170+E157+E151+E145+E140+E135+E128+E92+E85+E78+E75+E70+E62+E57)</f>
        <v>243848.9</v>
      </c>
      <c r="F172" s="32"/>
      <c r="G172" s="69">
        <f>SUM(G170+G157+G151+G145+G140+G135+G128+G92+G85+G78+G75+G70+G62+G57)</f>
        <v>51323.840000000011</v>
      </c>
      <c r="H172" s="32"/>
      <c r="I172" s="76" t="e">
        <f>SUM(I57+I62+I70+I75+I78+I85+I92+I128+I135+I140+I145+I151+I157+I170)</f>
        <v>#REF!</v>
      </c>
    </row>
    <row r="173" spans="1:9" s="31" customFormat="1" hidden="1" x14ac:dyDescent="0.25">
      <c r="A173" s="121"/>
      <c r="E173" s="80"/>
    </row>
    <row r="174" spans="1:9" s="31" customFormat="1" hidden="1" x14ac:dyDescent="0.25">
      <c r="A174" s="121"/>
      <c r="E174" s="80"/>
    </row>
  </sheetData>
  <mergeCells count="2">
    <mergeCell ref="C2:H2"/>
    <mergeCell ref="C3:H3"/>
  </mergeCells>
  <conditionalFormatting sqref="A56">
    <cfRule type="dataBar" priority="76">
      <dataBar>
        <cfvo type="min"/>
        <cfvo type="max"/>
        <color theme="0"/>
      </dataBar>
    </cfRule>
    <cfRule type="dataBar" priority="77">
      <dataBar>
        <cfvo type="min"/>
        <cfvo type="max"/>
        <color theme="0"/>
      </dataBar>
    </cfRule>
  </conditionalFormatting>
  <conditionalFormatting sqref="A93">
    <cfRule type="dataBar" priority="74">
      <dataBar>
        <cfvo type="min"/>
        <cfvo type="max"/>
        <color theme="0"/>
      </dataBar>
    </cfRule>
    <cfRule type="dataBar" priority="75">
      <dataBar>
        <cfvo type="min"/>
        <cfvo type="max"/>
        <color theme="0"/>
      </dataBar>
    </cfRule>
  </conditionalFormatting>
  <conditionalFormatting sqref="A95">
    <cfRule type="dataBar" priority="72">
      <dataBar>
        <cfvo type="min"/>
        <cfvo type="max"/>
        <color theme="0"/>
      </dataBar>
    </cfRule>
    <cfRule type="dataBar" priority="73">
      <dataBar>
        <cfvo type="min"/>
        <cfvo type="max"/>
        <color theme="0"/>
      </dataBar>
    </cfRule>
  </conditionalFormatting>
  <conditionalFormatting sqref="A118">
    <cfRule type="dataBar" priority="70">
      <dataBar>
        <cfvo type="min"/>
        <cfvo type="max"/>
        <color theme="0"/>
      </dataBar>
    </cfRule>
    <cfRule type="dataBar" priority="71">
      <dataBar>
        <cfvo type="min"/>
        <cfvo type="max"/>
        <color theme="0"/>
      </dataBar>
    </cfRule>
  </conditionalFormatting>
  <conditionalFormatting sqref="A135:A136">
    <cfRule type="dataBar" priority="68">
      <dataBar>
        <cfvo type="min"/>
        <cfvo type="max"/>
        <color theme="0"/>
      </dataBar>
    </cfRule>
    <cfRule type="dataBar" priority="69">
      <dataBar>
        <cfvo type="min"/>
        <cfvo type="max"/>
        <color theme="0"/>
      </dataBar>
    </cfRule>
  </conditionalFormatting>
  <conditionalFormatting sqref="A135:A136">
    <cfRule type="dataBar" priority="65">
      <dataBar>
        <cfvo type="min"/>
        <cfvo type="max"/>
        <color rgb="FFFF555A"/>
      </dataBar>
    </cfRule>
    <cfRule type="iconSet" priority="66">
      <iconSet iconSet="4TrafficLights">
        <cfvo type="percent" val="0"/>
        <cfvo type="percent" val="25"/>
        <cfvo type="percent" val="50"/>
        <cfvo type="percent" val="75"/>
      </iconSet>
    </cfRule>
    <cfRule type="dataBar" priority="67">
      <dataBar>
        <cfvo type="min"/>
        <cfvo type="max"/>
        <color rgb="FF638EC6"/>
      </dataBar>
    </cfRule>
  </conditionalFormatting>
  <conditionalFormatting sqref="A142">
    <cfRule type="dataBar" priority="63">
      <dataBar>
        <cfvo type="min"/>
        <cfvo type="max"/>
        <color theme="0"/>
      </dataBar>
    </cfRule>
    <cfRule type="dataBar" priority="64">
      <dataBar>
        <cfvo type="min"/>
        <cfvo type="max"/>
        <color theme="0"/>
      </dataBar>
    </cfRule>
  </conditionalFormatting>
  <conditionalFormatting sqref="A142">
    <cfRule type="dataBar" priority="60">
      <dataBar>
        <cfvo type="min"/>
        <cfvo type="max"/>
        <color rgb="FFFF555A"/>
      </dataBar>
    </cfRule>
    <cfRule type="iconSet" priority="61">
      <iconSet iconSet="4TrafficLights">
        <cfvo type="percent" val="0"/>
        <cfvo type="percent" val="25"/>
        <cfvo type="percent" val="50"/>
        <cfvo type="percent" val="75"/>
      </iconSet>
    </cfRule>
    <cfRule type="dataBar" priority="62">
      <dataBar>
        <cfvo type="min"/>
        <cfvo type="max"/>
        <color rgb="FF638EC6"/>
      </dataBar>
    </cfRule>
  </conditionalFormatting>
  <conditionalFormatting sqref="A145:A147">
    <cfRule type="dataBar" priority="58">
      <dataBar>
        <cfvo type="min"/>
        <cfvo type="max"/>
        <color theme="0"/>
      </dataBar>
    </cfRule>
    <cfRule type="dataBar" priority="59">
      <dataBar>
        <cfvo type="min"/>
        <cfvo type="max"/>
        <color theme="0"/>
      </dataBar>
    </cfRule>
  </conditionalFormatting>
  <conditionalFormatting sqref="A145:A147">
    <cfRule type="dataBar" priority="55">
      <dataBar>
        <cfvo type="min"/>
        <cfvo type="max"/>
        <color rgb="FFFF555A"/>
      </dataBar>
    </cfRule>
    <cfRule type="iconSet" priority="56">
      <iconSet iconSet="4TrafficLights">
        <cfvo type="percent" val="0"/>
        <cfvo type="percent" val="25"/>
        <cfvo type="percent" val="50"/>
        <cfvo type="percent" val="75"/>
      </iconSet>
    </cfRule>
    <cfRule type="dataBar" priority="57">
      <dataBar>
        <cfvo type="min"/>
        <cfvo type="max"/>
        <color rgb="FF638EC6"/>
      </dataBar>
    </cfRule>
  </conditionalFormatting>
  <conditionalFormatting sqref="A146">
    <cfRule type="dataBar" priority="53">
      <dataBar>
        <cfvo type="min"/>
        <cfvo type="max"/>
        <color theme="0"/>
      </dataBar>
    </cfRule>
    <cfRule type="dataBar" priority="54">
      <dataBar>
        <cfvo type="min"/>
        <cfvo type="max"/>
        <color theme="0"/>
      </dataBar>
    </cfRule>
  </conditionalFormatting>
  <conditionalFormatting sqref="A146">
    <cfRule type="dataBar" priority="50">
      <dataBar>
        <cfvo type="min"/>
        <cfvo type="max"/>
        <color rgb="FFFF555A"/>
      </dataBar>
    </cfRule>
    <cfRule type="iconSet" priority="51">
      <iconSet iconSet="4TrafficLights">
        <cfvo type="percent" val="0"/>
        <cfvo type="percent" val="25"/>
        <cfvo type="percent" val="50"/>
        <cfvo type="percent" val="75"/>
      </iconSet>
    </cfRule>
    <cfRule type="dataBar" priority="52">
      <dataBar>
        <cfvo type="min"/>
        <cfvo type="max"/>
        <color rgb="FF638EC6"/>
      </dataBar>
    </cfRule>
  </conditionalFormatting>
  <conditionalFormatting sqref="A150">
    <cfRule type="dataBar" priority="48">
      <dataBar>
        <cfvo type="min"/>
        <cfvo type="max"/>
        <color theme="0"/>
      </dataBar>
    </cfRule>
    <cfRule type="dataBar" priority="49">
      <dataBar>
        <cfvo type="min"/>
        <cfvo type="max"/>
        <color theme="0"/>
      </dataBar>
    </cfRule>
  </conditionalFormatting>
  <conditionalFormatting sqref="A161">
    <cfRule type="dataBar" priority="46">
      <dataBar>
        <cfvo type="min"/>
        <cfvo type="max"/>
        <color theme="0"/>
      </dataBar>
    </cfRule>
    <cfRule type="dataBar" priority="47">
      <dataBar>
        <cfvo type="min"/>
        <cfvo type="max"/>
        <color theme="0"/>
      </dataBar>
    </cfRule>
  </conditionalFormatting>
  <conditionalFormatting sqref="A161">
    <cfRule type="dataBar" priority="43">
      <dataBar>
        <cfvo type="min"/>
        <cfvo type="max"/>
        <color rgb="FFFF555A"/>
      </dataBar>
    </cfRule>
    <cfRule type="iconSet" priority="44">
      <iconSet iconSet="4TrafficLights">
        <cfvo type="percent" val="0"/>
        <cfvo type="percent" val="25"/>
        <cfvo type="percent" val="50"/>
        <cfvo type="percent" val="75"/>
      </iconSet>
    </cfRule>
    <cfRule type="dataBar" priority="45">
      <dataBar>
        <cfvo type="min"/>
        <cfvo type="max"/>
        <color rgb="FF638EC6"/>
      </dataBar>
    </cfRule>
  </conditionalFormatting>
  <conditionalFormatting sqref="A148">
    <cfRule type="dataBar" priority="41">
      <dataBar>
        <cfvo type="min"/>
        <cfvo type="max"/>
        <color theme="0"/>
      </dataBar>
    </cfRule>
    <cfRule type="dataBar" priority="42">
      <dataBar>
        <cfvo type="min"/>
        <cfvo type="max"/>
        <color theme="0"/>
      </dataBar>
    </cfRule>
  </conditionalFormatting>
  <conditionalFormatting sqref="A152:A156">
    <cfRule type="dataBar" priority="39">
      <dataBar>
        <cfvo type="min"/>
        <cfvo type="max"/>
        <color theme="0"/>
      </dataBar>
    </cfRule>
    <cfRule type="dataBar" priority="40">
      <dataBar>
        <cfvo type="min"/>
        <cfvo type="max"/>
        <color theme="0"/>
      </dataBar>
    </cfRule>
  </conditionalFormatting>
  <conditionalFormatting sqref="A151:A160">
    <cfRule type="dataBar" priority="37">
      <dataBar>
        <cfvo type="min"/>
        <cfvo type="max"/>
        <color theme="0"/>
      </dataBar>
    </cfRule>
    <cfRule type="dataBar" priority="38">
      <dataBar>
        <cfvo type="min"/>
        <cfvo type="max"/>
        <color theme="0"/>
      </dataBar>
    </cfRule>
  </conditionalFormatting>
  <conditionalFormatting sqref="A151:A160">
    <cfRule type="dataBar" priority="34">
      <dataBar>
        <cfvo type="min"/>
        <cfvo type="max"/>
        <color rgb="FFFF555A"/>
      </dataBar>
    </cfRule>
    <cfRule type="iconSet" priority="35">
      <iconSet iconSet="4TrafficLights">
        <cfvo type="percent" val="0"/>
        <cfvo type="percent" val="25"/>
        <cfvo type="percent" val="50"/>
        <cfvo type="percent" val="75"/>
      </iconSet>
    </cfRule>
    <cfRule type="dataBar" priority="36">
      <dataBar>
        <cfvo type="min"/>
        <cfvo type="max"/>
        <color rgb="FF638EC6"/>
      </dataBar>
    </cfRule>
  </conditionalFormatting>
  <conditionalFormatting sqref="A161:A169">
    <cfRule type="dataBar" priority="32">
      <dataBar>
        <cfvo type="min"/>
        <cfvo type="max"/>
        <color theme="0"/>
      </dataBar>
    </cfRule>
    <cfRule type="dataBar" priority="33">
      <dataBar>
        <cfvo type="min"/>
        <cfvo type="max"/>
        <color theme="0"/>
      </dataBar>
    </cfRule>
  </conditionalFormatting>
  <conditionalFormatting sqref="A170">
    <cfRule type="dataBar" priority="30">
      <dataBar>
        <cfvo type="min"/>
        <cfvo type="max"/>
        <color theme="0"/>
      </dataBar>
    </cfRule>
    <cfRule type="dataBar" priority="31">
      <dataBar>
        <cfvo type="min"/>
        <cfvo type="max"/>
        <color theme="0"/>
      </dataBar>
    </cfRule>
  </conditionalFormatting>
  <conditionalFormatting sqref="A170">
    <cfRule type="dataBar" priority="27">
      <dataBar>
        <cfvo type="min"/>
        <cfvo type="max"/>
        <color rgb="FFFF555A"/>
      </dataBar>
    </cfRule>
    <cfRule type="iconSet" priority="28">
      <iconSet iconSet="4TrafficLights">
        <cfvo type="percent" val="0"/>
        <cfvo type="percent" val="25"/>
        <cfvo type="percent" val="50"/>
        <cfvo type="percent" val="75"/>
      </iconSet>
    </cfRule>
    <cfRule type="dataBar" priority="29">
      <dataBar>
        <cfvo type="min"/>
        <cfvo type="max"/>
        <color rgb="FF638EC6"/>
      </dataBar>
    </cfRule>
  </conditionalFormatting>
  <conditionalFormatting sqref="A172">
    <cfRule type="dataBar" priority="25">
      <dataBar>
        <cfvo type="min"/>
        <cfvo type="max"/>
        <color theme="0"/>
      </dataBar>
    </cfRule>
    <cfRule type="dataBar" priority="26">
      <dataBar>
        <cfvo type="min"/>
        <cfvo type="max"/>
        <color theme="0"/>
      </dataBar>
    </cfRule>
  </conditionalFormatting>
  <conditionalFormatting sqref="A172">
    <cfRule type="dataBar" priority="22">
      <dataBar>
        <cfvo type="min"/>
        <cfvo type="max"/>
        <color rgb="FFFF555A"/>
      </dataBar>
    </cfRule>
    <cfRule type="iconSet" priority="23">
      <iconSet iconSet="4TrafficLights">
        <cfvo type="percent" val="0"/>
        <cfvo type="percent" val="25"/>
        <cfvo type="percent" val="50"/>
        <cfvo type="percent" val="75"/>
      </iconSet>
    </cfRule>
    <cfRule type="dataBar" priority="24">
      <dataBar>
        <cfvo type="min"/>
        <cfvo type="max"/>
        <color rgb="FF638EC6"/>
      </dataBar>
    </cfRule>
  </conditionalFormatting>
  <conditionalFormatting sqref="A159:A160">
    <cfRule type="dataBar" priority="20">
      <dataBar>
        <cfvo type="min"/>
        <cfvo type="max"/>
        <color theme="0"/>
      </dataBar>
    </cfRule>
    <cfRule type="dataBar" priority="21">
      <dataBar>
        <cfvo type="min"/>
        <cfvo type="max"/>
        <color theme="0"/>
      </dataBar>
    </cfRule>
  </conditionalFormatting>
  <conditionalFormatting sqref="A159:A160">
    <cfRule type="dataBar" priority="17">
      <dataBar>
        <cfvo type="min"/>
        <cfvo type="max"/>
        <color rgb="FFFF555A"/>
      </dataBar>
    </cfRule>
    <cfRule type="iconSet" priority="18">
      <iconSet iconSet="4TrafficLights">
        <cfvo type="percent" val="0"/>
        <cfvo type="percent" val="25"/>
        <cfvo type="percent" val="50"/>
        <cfvo type="percent" val="75"/>
      </iconSet>
    </cfRule>
    <cfRule type="dataBar" priority="19">
      <dataBar>
        <cfvo type="min"/>
        <cfvo type="max"/>
        <color rgb="FF638EC6"/>
      </dataBar>
    </cfRule>
  </conditionalFormatting>
  <conditionalFormatting sqref="A97:A117">
    <cfRule type="dataBar" priority="15">
      <dataBar>
        <cfvo type="min"/>
        <cfvo type="max"/>
        <color theme="0"/>
      </dataBar>
    </cfRule>
    <cfRule type="dataBar" priority="16">
      <dataBar>
        <cfvo type="min"/>
        <cfvo type="max"/>
        <color theme="0"/>
      </dataBar>
    </cfRule>
  </conditionalFormatting>
  <conditionalFormatting sqref="A93:A118">
    <cfRule type="dataBar" priority="13">
      <dataBar>
        <cfvo type="min"/>
        <cfvo type="max"/>
        <color theme="0"/>
      </dataBar>
    </cfRule>
    <cfRule type="dataBar" priority="14">
      <dataBar>
        <cfvo type="min"/>
        <cfvo type="max"/>
        <color theme="0"/>
      </dataBar>
    </cfRule>
  </conditionalFormatting>
  <conditionalFormatting sqref="A96:A118">
    <cfRule type="dataBar" priority="11">
      <dataBar>
        <cfvo type="min"/>
        <cfvo type="max"/>
        <color theme="0"/>
      </dataBar>
    </cfRule>
    <cfRule type="dataBar" priority="12">
      <dataBar>
        <cfvo type="min"/>
        <cfvo type="max"/>
        <color theme="0"/>
      </dataBar>
    </cfRule>
  </conditionalFormatting>
  <conditionalFormatting sqref="A9:A128">
    <cfRule type="dataBar" priority="9">
      <dataBar>
        <cfvo type="min"/>
        <cfvo type="max"/>
        <color theme="0"/>
      </dataBar>
    </cfRule>
    <cfRule type="dataBar" priority="10">
      <dataBar>
        <cfvo type="min"/>
        <cfvo type="max"/>
        <color theme="0"/>
      </dataBar>
    </cfRule>
  </conditionalFormatting>
  <conditionalFormatting sqref="A9:A128">
    <cfRule type="dataBar" priority="6">
      <dataBar>
        <cfvo type="min"/>
        <cfvo type="max"/>
        <color rgb="FFFF555A"/>
      </dataBar>
    </cfRule>
    <cfRule type="iconSet" priority="7">
      <iconSet iconSet="4TrafficLights">
        <cfvo type="percent" val="0"/>
        <cfvo type="percent" val="25"/>
        <cfvo type="percent" val="50"/>
        <cfvo type="percent" val="75"/>
      </iconSet>
    </cfRule>
    <cfRule type="dataBar" priority="8">
      <dataBar>
        <cfvo type="min"/>
        <cfvo type="max"/>
        <color rgb="FF638EC6"/>
      </dataBar>
    </cfRule>
  </conditionalFormatting>
  <conditionalFormatting sqref="A129:A160">
    <cfRule type="dataBar" priority="4">
      <dataBar>
        <cfvo type="min"/>
        <cfvo type="max"/>
        <color theme="0"/>
      </dataBar>
    </cfRule>
    <cfRule type="dataBar" priority="5">
      <dataBar>
        <cfvo type="min"/>
        <cfvo type="max"/>
        <color theme="0"/>
      </dataBar>
    </cfRule>
  </conditionalFormatting>
  <conditionalFormatting sqref="A129:A160">
    <cfRule type="dataBar" priority="1">
      <dataBar>
        <cfvo type="min"/>
        <cfvo type="max"/>
        <color rgb="FFFF555A"/>
      </dataBar>
    </cfRule>
    <cfRule type="iconSet" priority="2">
      <iconSet iconSet="4TrafficLights">
        <cfvo type="percent" val="0"/>
        <cfvo type="percent" val="25"/>
        <cfvo type="percent" val="50"/>
        <cfvo type="percent" val="75"/>
      </iconSet>
    </cfRule>
    <cfRule type="dataBar" priority="3">
      <dataBar>
        <cfvo type="min"/>
        <cfvo type="max"/>
        <color rgb="FF638EC6"/>
      </dataBar>
    </cfRule>
  </conditionalFormatting>
  <pageMargins left="0" right="0" top="0" bottom="0" header="0.31496062992125984" footer="0.31496062992125984"/>
  <pageSetup paperSize="9" scale="7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172"/>
  <sheetViews>
    <sheetView zoomScale="91" zoomScaleNormal="91" workbookViewId="0">
      <selection activeCell="E19" sqref="E19"/>
    </sheetView>
  </sheetViews>
  <sheetFormatPr defaultRowHeight="15" x14ac:dyDescent="0.25"/>
  <cols>
    <col min="1" max="1" width="34.42578125" style="122" customWidth="1"/>
    <col min="2" max="2" width="0.5703125" customWidth="1"/>
    <col min="3" max="3" width="15.5703125" bestFit="1" customWidth="1"/>
    <col min="4" max="4" width="0.7109375" customWidth="1"/>
    <col min="5" max="5" width="15.5703125" style="31" bestFit="1" customWidth="1"/>
    <col min="6" max="6" width="0.85546875" customWidth="1"/>
    <col min="7" max="7" width="14.85546875" style="31" bestFit="1" customWidth="1"/>
    <col min="8" max="8" width="0.85546875" customWidth="1"/>
    <col min="9" max="9" width="14.85546875" style="31" bestFit="1" customWidth="1"/>
    <col min="10" max="10" width="0.7109375" customWidth="1"/>
    <col min="11" max="11" width="15.140625" style="75" customWidth="1"/>
    <col min="12" max="12" width="0.42578125" customWidth="1"/>
    <col min="13" max="13" width="16.42578125" bestFit="1" customWidth="1"/>
    <col min="14" max="15" width="13.7109375" bestFit="1" customWidth="1"/>
  </cols>
  <sheetData>
    <row r="1" spans="1:13" ht="15.75" x14ac:dyDescent="0.25">
      <c r="M1" s="93">
        <v>1</v>
      </c>
    </row>
    <row r="2" spans="1:13" ht="31.5" x14ac:dyDescent="0.5">
      <c r="C2" s="305" t="s">
        <v>204</v>
      </c>
      <c r="D2" s="305"/>
      <c r="E2" s="305"/>
      <c r="F2" s="305"/>
      <c r="G2" s="305"/>
      <c r="H2" s="305"/>
      <c r="I2" s="305"/>
      <c r="J2" s="305"/>
      <c r="K2" s="305"/>
    </row>
    <row r="3" spans="1:13" ht="31.5" x14ac:dyDescent="0.5">
      <c r="C3" s="305" t="s">
        <v>205</v>
      </c>
      <c r="D3" s="305"/>
      <c r="E3" s="305"/>
      <c r="F3" s="305"/>
      <c r="G3" s="305"/>
      <c r="H3" s="305"/>
      <c r="I3" s="305"/>
      <c r="J3" s="305"/>
      <c r="K3" s="305"/>
    </row>
    <row r="4" spans="1:13" s="3" customFormat="1" x14ac:dyDescent="0.25">
      <c r="A4" s="37"/>
      <c r="C4" s="136">
        <v>42005</v>
      </c>
      <c r="E4" s="33" t="s">
        <v>107</v>
      </c>
      <c r="G4" s="33" t="s">
        <v>108</v>
      </c>
      <c r="I4" s="33" t="s">
        <v>109</v>
      </c>
      <c r="K4" s="3" t="s">
        <v>110</v>
      </c>
    </row>
    <row r="5" spans="1:13" s="3" customFormat="1" x14ac:dyDescent="0.25">
      <c r="A5" s="123" t="s">
        <v>233</v>
      </c>
      <c r="C5" s="26">
        <f>11341.11+6058.75+15243.88+48000+12678.42+296.33+5629.32</f>
        <v>99247.81</v>
      </c>
      <c r="E5" s="137">
        <v>23112.7</v>
      </c>
      <c r="G5" s="137">
        <v>25560.6</v>
      </c>
      <c r="I5" s="137">
        <v>23537.200000000001</v>
      </c>
      <c r="K5" s="137">
        <v>-2258.87</v>
      </c>
      <c r="M5" s="26">
        <v>-19291.43</v>
      </c>
    </row>
    <row r="6" spans="1:13" s="2" customFormat="1" x14ac:dyDescent="0.25">
      <c r="A6" s="123" t="s">
        <v>230</v>
      </c>
      <c r="B6" s="3"/>
      <c r="C6" s="1">
        <f>SUM(C16)</f>
        <v>86914.27</v>
      </c>
      <c r="D6" s="1"/>
      <c r="E6" s="1">
        <f>SUM(E16)</f>
        <v>297203.37000000005</v>
      </c>
      <c r="F6" s="1"/>
      <c r="G6" s="1">
        <f>SUM(G16)</f>
        <v>194808.72</v>
      </c>
      <c r="H6" s="1"/>
      <c r="I6" s="1">
        <f>SUM(I16)</f>
        <v>189133.63</v>
      </c>
      <c r="J6" s="1"/>
      <c r="K6" s="1">
        <f>SUM(K16)</f>
        <v>211784.79000000004</v>
      </c>
      <c r="M6" s="10">
        <f>C5+C6+E6+G6+I6+K6</f>
        <v>1079092.5900000001</v>
      </c>
    </row>
    <row r="7" spans="1:13" x14ac:dyDescent="0.25">
      <c r="A7" s="123" t="s">
        <v>231</v>
      </c>
      <c r="B7" s="3"/>
      <c r="C7" s="1">
        <f>SUM(C157)</f>
        <v>163049.38500000001</v>
      </c>
      <c r="D7" s="1"/>
      <c r="E7" s="1">
        <f>SUM(E157)</f>
        <v>294755.47000000003</v>
      </c>
      <c r="F7" s="1"/>
      <c r="G7" s="1">
        <f>SUM(G157)</f>
        <v>196832.12</v>
      </c>
      <c r="H7" s="1"/>
      <c r="I7" s="1">
        <f>SUM(I157)</f>
        <v>214929.69999999995</v>
      </c>
      <c r="J7" s="1"/>
      <c r="K7" s="1">
        <f>SUM(K157)</f>
        <v>233596.31000000003</v>
      </c>
      <c r="M7" s="10">
        <f>SUM(C7:K7)</f>
        <v>1103162.9850000001</v>
      </c>
    </row>
    <row r="8" spans="1:13" s="35" customFormat="1" x14ac:dyDescent="0.25">
      <c r="A8" s="121"/>
      <c r="C8" s="82">
        <f>SUM(C5+C6-C7)</f>
        <v>23112.695000000007</v>
      </c>
      <c r="E8" s="82">
        <f>SUM(E5+E6-E7)</f>
        <v>25560.600000000035</v>
      </c>
      <c r="G8" s="82">
        <f>SUM(G5+G6-G7)</f>
        <v>23537.200000000012</v>
      </c>
      <c r="I8" s="82">
        <f>SUM(I5+I6-I7)</f>
        <v>-2258.8699999999371</v>
      </c>
      <c r="K8" s="82">
        <f>SUM(K5+K6-K7)</f>
        <v>-24070.389999999985</v>
      </c>
      <c r="M8" s="82">
        <f>SUM(M5+M6-M7)</f>
        <v>-43361.824999999953</v>
      </c>
    </row>
    <row r="9" spans="1:13" s="35" customFormat="1" ht="21" x14ac:dyDescent="0.4">
      <c r="A9" s="124" t="s">
        <v>206</v>
      </c>
      <c r="C9" s="68"/>
      <c r="E9" s="68"/>
      <c r="G9" s="68"/>
      <c r="I9" s="68"/>
      <c r="K9" s="73"/>
      <c r="M9" s="71"/>
    </row>
    <row r="10" spans="1:13" s="35" customFormat="1" ht="16.5" x14ac:dyDescent="0.3">
      <c r="A10" s="125" t="s">
        <v>207</v>
      </c>
      <c r="C10" s="73">
        <f>46028.39</f>
        <v>46028.39</v>
      </c>
      <c r="D10" s="85"/>
      <c r="E10" s="73">
        <f>2495.13+41577.04+2495.13+17407.85</f>
        <v>63975.149999999994</v>
      </c>
      <c r="F10" s="85"/>
      <c r="G10" s="73">
        <f>2495.13+17407.85+46093.63</f>
        <v>65996.61</v>
      </c>
      <c r="H10" s="85"/>
      <c r="I10" s="73">
        <f>2495.13+17407.85+46120.82+6174.81</f>
        <v>72198.61</v>
      </c>
      <c r="J10" s="85"/>
      <c r="K10" s="73">
        <f>6174.81+2495.13+17407.85+39926.98</f>
        <v>66004.77</v>
      </c>
      <c r="L10" s="85"/>
      <c r="M10" s="86">
        <f>SUM(C10+E10+G10+I10+K10)</f>
        <v>314203.53000000003</v>
      </c>
    </row>
    <row r="11" spans="1:13" s="35" customFormat="1" ht="16.5" x14ac:dyDescent="0.3">
      <c r="A11" s="125" t="s">
        <v>208</v>
      </c>
      <c r="C11" s="73">
        <v>0</v>
      </c>
      <c r="D11" s="85"/>
      <c r="E11" s="73">
        <f>70250</f>
        <v>70250</v>
      </c>
      <c r="F11" s="85"/>
      <c r="G11" s="73">
        <f>70250</f>
        <v>70250</v>
      </c>
      <c r="H11" s="85"/>
      <c r="I11" s="73">
        <v>70250</v>
      </c>
      <c r="J11" s="85"/>
      <c r="K11" s="73">
        <f>70250</f>
        <v>70250</v>
      </c>
      <c r="L11" s="85"/>
      <c r="M11" s="86">
        <f t="shared" ref="M11:M15" si="0">SUM(C11+E11+G11+I11+K11)</f>
        <v>281000</v>
      </c>
    </row>
    <row r="12" spans="1:13" s="35" customFormat="1" ht="16.5" x14ac:dyDescent="0.3">
      <c r="A12" s="125" t="s">
        <v>209</v>
      </c>
      <c r="C12" s="73">
        <f>21708.86</f>
        <v>21708.86</v>
      </c>
      <c r="D12" s="85"/>
      <c r="E12" s="73">
        <f>48653.76</f>
        <v>48653.760000000002</v>
      </c>
      <c r="F12" s="85"/>
      <c r="G12" s="73">
        <f>25000+9117.2</f>
        <v>34117.199999999997</v>
      </c>
      <c r="H12" s="85"/>
      <c r="I12" s="73">
        <f>10552.02+25000</f>
        <v>35552.020000000004</v>
      </c>
      <c r="J12" s="85"/>
      <c r="K12" s="73">
        <f>25000+9058.27+25000</f>
        <v>59058.270000000004</v>
      </c>
      <c r="L12" s="85"/>
      <c r="M12" s="86">
        <f t="shared" si="0"/>
        <v>199090.11</v>
      </c>
    </row>
    <row r="13" spans="1:13" s="35" customFormat="1" ht="16.5" x14ac:dyDescent="0.3">
      <c r="A13" s="125" t="s">
        <v>232</v>
      </c>
      <c r="C13" s="73">
        <v>0</v>
      </c>
      <c r="D13" s="85"/>
      <c r="E13" s="73">
        <f>9500+85500</f>
        <v>95000</v>
      </c>
      <c r="F13" s="85"/>
      <c r="G13" s="73">
        <v>0</v>
      </c>
      <c r="H13" s="85"/>
      <c r="I13" s="73">
        <v>0</v>
      </c>
      <c r="J13" s="85"/>
      <c r="K13" s="73">
        <v>0</v>
      </c>
      <c r="L13" s="85"/>
      <c r="M13" s="86">
        <f t="shared" si="0"/>
        <v>95000</v>
      </c>
    </row>
    <row r="14" spans="1:13" s="35" customFormat="1" ht="16.5" x14ac:dyDescent="0.3">
      <c r="A14" s="125" t="s">
        <v>210</v>
      </c>
      <c r="C14" s="73">
        <f>150+1520+210+150+180+190+570+150+190+150+459+190+270+150+820+360+110+250+50+350+150+750</f>
        <v>7369</v>
      </c>
      <c r="D14" s="85"/>
      <c r="E14" s="73">
        <f>2940+150+150+372.4+195+290+60+50+50+800+194+150+1800+1000+1050+980</f>
        <v>10231.4</v>
      </c>
      <c r="F14" s="85"/>
      <c r="G14" s="73">
        <f>1820+130+115+63+150+140+1520+1000+300+50+150+850+50+150+1000+115+1500+350+850</f>
        <v>10303</v>
      </c>
      <c r="H14" s="85"/>
      <c r="I14" s="73">
        <f>1000+120+110+100+210+80+300+2140+450+213+80+450+150+1500</f>
        <v>6903</v>
      </c>
      <c r="J14" s="85"/>
      <c r="K14" s="73">
        <v>6802.2</v>
      </c>
      <c r="L14" s="85"/>
      <c r="M14" s="86">
        <f t="shared" si="0"/>
        <v>41608.6</v>
      </c>
    </row>
    <row r="15" spans="1:13" s="35" customFormat="1" ht="16.5" x14ac:dyDescent="0.3">
      <c r="A15" s="125" t="s">
        <v>235</v>
      </c>
      <c r="C15" s="73">
        <f>2466.01+9342.01</f>
        <v>11808.02</v>
      </c>
      <c r="D15" s="85"/>
      <c r="E15" s="73">
        <f>5310+3783.06</f>
        <v>9093.06</v>
      </c>
      <c r="F15" s="85"/>
      <c r="G15" s="73">
        <v>14141.91</v>
      </c>
      <c r="H15" s="85"/>
      <c r="I15" s="73">
        <v>4230</v>
      </c>
      <c r="J15" s="85"/>
      <c r="K15" s="73">
        <v>9669.5499999999993</v>
      </c>
      <c r="L15" s="85"/>
      <c r="M15" s="86">
        <f t="shared" si="0"/>
        <v>48942.540000000008</v>
      </c>
    </row>
    <row r="16" spans="1:13" s="35" customFormat="1" ht="21" x14ac:dyDescent="0.4">
      <c r="A16" s="126"/>
      <c r="C16" s="82">
        <f>SUM(C10:C15)</f>
        <v>86914.27</v>
      </c>
      <c r="E16" s="82">
        <f>SUM(E10:E15)</f>
        <v>297203.37000000005</v>
      </c>
      <c r="G16" s="82">
        <f>SUM(G10:G15)</f>
        <v>194808.72</v>
      </c>
      <c r="I16" s="82">
        <f>SUM(I10:I15)</f>
        <v>189133.63</v>
      </c>
      <c r="K16" s="82">
        <f>SUM(K10:K15)</f>
        <v>211784.79000000004</v>
      </c>
      <c r="M16" s="87">
        <f>SUM(C16+E16+G16+I16+K16)</f>
        <v>979844.78000000014</v>
      </c>
    </row>
    <row r="17" spans="1:13" s="8" customFormat="1" ht="21" x14ac:dyDescent="0.4">
      <c r="A17" s="124" t="s">
        <v>60</v>
      </c>
      <c r="C17" s="68"/>
      <c r="D17" s="35"/>
      <c r="E17" s="68"/>
      <c r="F17" s="35"/>
      <c r="G17" s="68"/>
      <c r="H17" s="35"/>
      <c r="I17" s="68"/>
      <c r="J17" s="35"/>
      <c r="K17" s="73"/>
      <c r="M17" s="10"/>
    </row>
    <row r="18" spans="1:13" ht="15.75" x14ac:dyDescent="0.3">
      <c r="A18" s="127" t="s">
        <v>111</v>
      </c>
      <c r="B18" s="32"/>
      <c r="C18" s="6"/>
      <c r="D18" s="31"/>
      <c r="E18" s="6"/>
      <c r="F18" s="31"/>
      <c r="G18" s="6"/>
      <c r="H18" s="31"/>
      <c r="I18" s="6"/>
      <c r="J18" s="31"/>
      <c r="K18" s="74"/>
      <c r="L18" s="31"/>
      <c r="M18" s="76"/>
    </row>
    <row r="19" spans="1:13" ht="15.75" x14ac:dyDescent="0.3">
      <c r="A19" s="128" t="s">
        <v>62</v>
      </c>
      <c r="B19" s="9"/>
      <c r="C19" s="1">
        <f>750+1212.9+1400+1212.9+1212.9+1212.9+724+750+724+1212.9+1300+1141.07+2150+2205.54+300+850+850+1332+4000+850+3045.5+1100+724+724+750+2470.2+724+1141.07+2100+900+1141.07+900+3045.5+1200+850+550</f>
        <v>46756.45</v>
      </c>
      <c r="E19" s="34">
        <f>1400+788+1200+850+788+1141.07+900+788+2470.2+550+1212.9+788+1141.07+788+3045.5+900+1100+2100+1212.9+1212.9+1212.9+1212.9+1212.9+788+788+788+1212.9+1300+1141.07+2205.54+850+1212.9+850+1332+4000+850+3045.5+640.9+494.52</f>
        <v>49514.570000000007</v>
      </c>
      <c r="G19" s="34">
        <f>1212.9+1212.9+788+788+788+1300+80.86+1141.07+2150+788.33+56.67+1212.9+850+1332+4000+1212.9+1141.07+2270+1400+1479+850+1100+1141.07+900+788+788+3045.5+788+2470.2+788+1200+550+1141.07</f>
        <v>40754.439999999995</v>
      </c>
      <c r="I19" s="34">
        <f>788+1212.9+1212.9+1141.07+1212.9+1212.9+850+788+788+900+1141.07+2078.33+788+1212.9+3045.5+793.33+1200+1212.9+850+1332+788+390+850+2842.47+788+2205.54+1400+1479+1132.04+366.67+1141.07+56.67</f>
        <v>37200.160000000003</v>
      </c>
      <c r="K19" s="60">
        <f>1212.9+788+1212.9+788+1212.9+2150+733.33+850+1212.9+850+793.33+1332+3045.5+203.03+1212.9+1141.07+1479+1141.07+850+1141.07+900+788+1200+2270+788+1837.95+900+788+1141.07+4000+1333.33+1300+433.33+2470.2+550+3045.5+1212.8</f>
        <v>48308.080000000009</v>
      </c>
      <c r="M19" s="11">
        <f>SUM(C19+E19+G19+I19+K19)</f>
        <v>222533.7</v>
      </c>
    </row>
    <row r="20" spans="1:13" ht="15.75" x14ac:dyDescent="0.3">
      <c r="A20" s="128" t="s">
        <v>166</v>
      </c>
      <c r="B20" s="9"/>
      <c r="C20" s="1">
        <f>700</f>
        <v>700</v>
      </c>
      <c r="E20" s="34">
        <f>1000+13.23</f>
        <v>1013.23</v>
      </c>
      <c r="G20" s="34">
        <f>1000+13.38+788</f>
        <v>1801.38</v>
      </c>
      <c r="I20" s="34">
        <f>1000+13.38</f>
        <v>1013.38</v>
      </c>
      <c r="K20" s="60">
        <f>266.67</f>
        <v>266.67</v>
      </c>
      <c r="M20" s="11">
        <f t="shared" ref="M20:M54" si="1">SUM(C20+E20+G20+I20+K20)</f>
        <v>4794.66</v>
      </c>
    </row>
    <row r="21" spans="1:13" ht="15.75" x14ac:dyDescent="0.3">
      <c r="A21" s="128" t="s">
        <v>173</v>
      </c>
      <c r="B21" s="9"/>
      <c r="C21" s="1">
        <f>24.66+49.32+24.66</f>
        <v>98.64</v>
      </c>
      <c r="E21" s="34">
        <f>26.2+26.2+52.4</f>
        <v>104.8</v>
      </c>
      <c r="G21" s="34">
        <f>52.4+26.2+26.2</f>
        <v>104.8</v>
      </c>
      <c r="I21" s="34">
        <f>26.2</f>
        <v>26.2</v>
      </c>
      <c r="K21" s="60">
        <f>26.2+26.2</f>
        <v>52.4</v>
      </c>
      <c r="M21" s="11">
        <f t="shared" si="1"/>
        <v>386.84</v>
      </c>
    </row>
    <row r="22" spans="1:13" ht="15.75" x14ac:dyDescent="0.3">
      <c r="A22" s="128" t="s">
        <v>167</v>
      </c>
      <c r="B22" s="9"/>
      <c r="C22" s="1">
        <f>9.16</f>
        <v>9.16</v>
      </c>
      <c r="E22" s="34">
        <v>0</v>
      </c>
      <c r="G22" s="34">
        <v>0</v>
      </c>
      <c r="I22" s="34">
        <v>0</v>
      </c>
      <c r="K22" s="60">
        <f>3.57</f>
        <v>3.57</v>
      </c>
      <c r="M22" s="11">
        <f t="shared" si="1"/>
        <v>12.73</v>
      </c>
    </row>
    <row r="23" spans="1:13" ht="15.75" x14ac:dyDescent="0.3">
      <c r="A23" s="128" t="s">
        <v>159</v>
      </c>
      <c r="B23" s="9"/>
      <c r="C23" s="1">
        <f>22.27+4.25+10.34+0.81+6.32+21.71+24.86+4.54+1.19+31.93+4.46+1.02+31.66+3.36+9.07+38.34+14.28+19.76</f>
        <v>250.17000000000002</v>
      </c>
      <c r="E23" s="34">
        <f>2.14+25.12+15.97+25.9+5.13+0.36+9.45+7.93+0.6+2.22+10.41+0.81+3.16+11.2+1.6+1.99+0.81+10+33.06+2.15</f>
        <v>170.01</v>
      </c>
      <c r="G23" s="34">
        <f>1.69+15.9+0.41+1.2+1.24+5.83+10.37+1.4+6.17+230+8.84+4.5+6.91+3.58+4.05+0.57</f>
        <v>302.65999999999997</v>
      </c>
      <c r="I23" s="34">
        <f>2.32+2.19+4.58+6.93+0.99+1.51+2.85+6.65+3.32+30.2+0.65+0.72+4.12+0.62+0.65+2.07+14.83</f>
        <v>85.2</v>
      </c>
      <c r="K23" s="60">
        <f>2.42+9.02+24.76+3.02+27.61+43.33+1.94+23.01+23.77+39.06+1.43+7.6+43.85+23.38+66.6+0.76+7.31</f>
        <v>348.87000000000006</v>
      </c>
      <c r="M23" s="11">
        <f t="shared" si="1"/>
        <v>1156.9100000000001</v>
      </c>
    </row>
    <row r="24" spans="1:13" ht="15.75" x14ac:dyDescent="0.3">
      <c r="A24" s="128" t="s">
        <v>164</v>
      </c>
      <c r="B24" s="9"/>
      <c r="C24" s="1">
        <f>80</f>
        <v>80</v>
      </c>
      <c r="E24" s="34">
        <f>80</f>
        <v>80</v>
      </c>
      <c r="G24" s="34">
        <f>80</f>
        <v>80</v>
      </c>
      <c r="I24" s="34">
        <f>80</f>
        <v>80</v>
      </c>
      <c r="K24" s="60">
        <f>80</f>
        <v>80</v>
      </c>
      <c r="M24" s="11">
        <f t="shared" si="1"/>
        <v>400</v>
      </c>
    </row>
    <row r="25" spans="1:13" ht="15.75" x14ac:dyDescent="0.3">
      <c r="A25" s="128" t="s">
        <v>157</v>
      </c>
      <c r="B25" s="9"/>
      <c r="C25" s="1">
        <f>17.88+53.76+14.52+11.85+121.82+23.61+9.52+3.02+23.2+102.76+35.54+40.39+17.47+44.67+4.07</f>
        <v>524.08000000000004</v>
      </c>
      <c r="E25" s="34">
        <f>11.12+12.72+18.57+17.51+1.88+14.76+41.24+3.62+11.54+4.77+4.23+16.41+35.52+8.31+10.33+4.21+52.02+21.26+7.89</f>
        <v>297.91000000000003</v>
      </c>
      <c r="G25" s="34">
        <f>3.26+2.45+7.21+7.46+30.32+3.26+31.76+36.31+3.42+53.04+27+41.48+16.41+13.42</f>
        <v>276.8</v>
      </c>
      <c r="I25" s="34">
        <f>12.08+7.85+20.6+34.58+22.61+26.2+9.04+5.16+17.24+96.37+25.79+3.38+4.52+16.91+3.21+3.38+10.77</f>
        <v>319.69</v>
      </c>
      <c r="K25" s="60">
        <f>9.66+3.67+110.45+3.26+5.7+26.98+20.63+3.03+29.23</f>
        <v>212.60999999999999</v>
      </c>
      <c r="M25" s="11">
        <f t="shared" si="1"/>
        <v>1631.09</v>
      </c>
    </row>
    <row r="26" spans="1:13" ht="15.75" x14ac:dyDescent="0.3">
      <c r="A26" s="128" t="s">
        <v>158</v>
      </c>
      <c r="B26" s="9"/>
      <c r="C26" s="1">
        <f>4.22+4.22+83.33+163+85.01+47.15+119.96+89.07</f>
        <v>595.95999999999992</v>
      </c>
      <c r="E26" s="34">
        <f>91.33+53.42+134.66+9.18+49.35+22.74+150.63</f>
        <v>511.31</v>
      </c>
      <c r="G26" s="34">
        <f>10.15+92.11+5.15+5.23+13.77+10.87+5.05</f>
        <v>142.33000000000001</v>
      </c>
      <c r="I26" s="34">
        <f>5.31+14.84+13.42+4.51+117.51</f>
        <v>155.59</v>
      </c>
      <c r="K26" s="60">
        <f>32.41+99.03+12.08+173.33+4.51+92.06+87.17+156.24+12.55+147.69+93.53+266.4</f>
        <v>1177</v>
      </c>
      <c r="M26" s="11">
        <f t="shared" si="1"/>
        <v>2582.1899999999996</v>
      </c>
    </row>
    <row r="27" spans="1:13" ht="15.75" x14ac:dyDescent="0.3">
      <c r="A27" s="128" t="s">
        <v>172</v>
      </c>
      <c r="B27" s="9"/>
      <c r="C27" s="1">
        <f>18.35+17.69+7.45+38.73+73.99</f>
        <v>156.20999999999998</v>
      </c>
      <c r="E27" s="34">
        <f>26.59+11.06+34.39</f>
        <v>72.039999999999992</v>
      </c>
      <c r="G27" s="34">
        <v>0</v>
      </c>
      <c r="I27" s="34">
        <f>13.75</f>
        <v>13.75</v>
      </c>
      <c r="K27" s="60">
        <f>7.08</f>
        <v>7.08</v>
      </c>
      <c r="M27" s="11">
        <f t="shared" si="1"/>
        <v>249.07999999999998</v>
      </c>
    </row>
    <row r="28" spans="1:13" ht="15.75" x14ac:dyDescent="0.3">
      <c r="A28" s="128" t="s">
        <v>160</v>
      </c>
      <c r="B28" s="9"/>
      <c r="C28" s="1">
        <f>0.55+0.71+0.37+0.66+4.04+0.02+1.55+0.75+1.56+0.33+0.35+0.57+9.52+0.035+0.73+8.22+0.97+0.97+1.46+0.13+0.82+0.81+0.77+0.08+0.74+0.95+1.46+0.81+0.21+0.3+0.04+0.02+0.92+0.69+0.89+0.67+0.44+0.03+0.1+0.8+0.44+0.11</f>
        <v>45.595000000000006</v>
      </c>
      <c r="E28" s="34">
        <f>0.45+0.43+0.22+0.48+0.23+0.16+0.84+0.14+0.71+0.41+0.84+0.27+0.37+0.84+0.51+0.15+0.36+0.46+0.46+0.24+0.89+0.64+0.59+0.38+0.11+0.57+0.72+0.8+0.45+0.38+0.82+0.1+0.82+0.92+0.59+0.31+0.26+0.9+0.9</f>
        <v>19.720000000000002</v>
      </c>
      <c r="G28" s="34">
        <f>0.07+0.18+0.45+0.75+0.68+0.22+0.16+0.75+0.76+0.04+0.11+0.92+0.94+0.76+0.08+0.62+0.47+0.25+0.75+0.67+0.73+0.35+0.5+0.89+0.83+0.94+0.59+0.65+0.94+0.02+0.36+0.22+0.24</f>
        <v>16.889999999999997</v>
      </c>
      <c r="I28" s="34">
        <f>0.76+0.36+0.32+0.12+0.76+0.64+0.13+0.58+0.01+0.66+0.45+0.77+0.31+0.5+0.68+0.46+0.35+0.65+0.48+0.76+0.57+0.13+0.31+0.58+0.03+0.67+0.22+0.95+0.48+0.19+0.42+0.67+0.83+0.35</f>
        <v>16.150000000000002</v>
      </c>
      <c r="K28" s="60">
        <f>0.26+0.37+0.73+0.09+0.13+0.45+0.87+0.17+0.27+0.73+0.05+0.79+0.46+0.93+0.49+0.59+0.11+0.08+0.08+0.51+0.88+0.22+0.67+0.91+0.19+0.76+0.53+0.59+0.64+0.23+0.4+0.73+0.21+0.83+0.19</f>
        <v>16.140000000000004</v>
      </c>
      <c r="M28" s="11">
        <f t="shared" si="1"/>
        <v>114.49500000000002</v>
      </c>
    </row>
    <row r="29" spans="1:13" ht="15.75" x14ac:dyDescent="0.3">
      <c r="A29" s="128" t="s">
        <v>155</v>
      </c>
      <c r="B29" s="9"/>
      <c r="C29" s="1">
        <f>72.77+72.77+72.77+72.77+68.46+182.73+182.73</f>
        <v>725</v>
      </c>
      <c r="E29" s="34">
        <f>68.46+148.21+72.77+182.73+72.77+72.77+72.77+68.46+132.33+72.77+182.73</f>
        <v>1146.77</v>
      </c>
      <c r="G29" s="34">
        <f>72.77+64.46+72.77+79.92+72.77+68.46+68.46+68.46+182.73+148.21</f>
        <v>899.01</v>
      </c>
      <c r="I29" s="34">
        <f>72.77+79.92+182.73+68.46+72.77+182.73+72.77+68.46+72.77</f>
        <v>873.37999999999988</v>
      </c>
      <c r="K29" s="60">
        <f>72.77+72.77+72.77+182.73+68.46+68.46+68.46+148.21+72.77+182.73</f>
        <v>1010.13</v>
      </c>
      <c r="M29" s="11">
        <f t="shared" si="1"/>
        <v>4654.29</v>
      </c>
    </row>
    <row r="30" spans="1:13" ht="15.75" x14ac:dyDescent="0.3">
      <c r="A30" s="128" t="s">
        <v>156</v>
      </c>
      <c r="B30" s="9"/>
      <c r="C30" s="1">
        <f>144.26+144.12+118.35+144.8+144.46+144.74+144.8+144.68+139.95+144.8+144.8+144.8+136.66+144.06+43.44+101.36+142.01+144.01+144+144.34+144.8+131.88+144.6+140.23+142.97+144.8+136.9+144.8+144.8+144.28+144.56+143.92+144.8+97.33+140.88</f>
        <v>4795.9900000000016</v>
      </c>
      <c r="E30" s="34">
        <f>137.46+136.72+144.8+144.8+137.74+236.4+135.07+144.8+236.4+231.37+143.31+235.98+143.81+236.4+144.8+141.71+236.4+228.85+143.23+236.4+228.52+236.4+144.39+144.8+139.92+226.39+143.99+235.15+234.3+143.05+235.28+131.16+218.11+144.8+143.54+236.4+144.8+57.92</f>
        <v>6765.37</v>
      </c>
      <c r="G30" s="34">
        <f>157.6+156.72+157.6+235.94+197.35+157.58+152.35+157.51+15.76+156.04+235.64+139.01+57.19+10.51+236.07+122.26+233.51+235.55+235.77+236.4+135.58+590.95+144.85+152.14+236.18+148.77+157.58+152.21+236.4+156.98+236.4+151.19+157.6</f>
        <v>5943.1900000000005</v>
      </c>
      <c r="I30" s="34">
        <f>157.6+236.4+229.83+590.69+220.09+50.5+157.6+235.91-157.06+68.25+155.78+10.51+220.64+157.6+236.1+145.81+157.42+152.24+157.6+236.4+232.63+234.82+236.03+157.6+145.39+236.4+220.47+146.62+141.55+235.78+157.57</f>
        <v>5564.77</v>
      </c>
      <c r="K30" s="60">
        <f>236.4+157.42+236.4+156.11+234.59+148.19+115.57+42.03+156.35+236.07+148.23+145.89+236.4+236.4+15.76+236.4+236.4+591.6+157.6+236.01+157.29+151.8+157.6+157.6+157.39+197+149.31+156.73+236.4+157.6+52.53+156.69+52.34+236.4+236.4+235.18</f>
        <v>6608.0800000000008</v>
      </c>
      <c r="M30" s="11">
        <f t="shared" si="1"/>
        <v>29677.400000000005</v>
      </c>
    </row>
    <row r="31" spans="1:13" ht="15.75" x14ac:dyDescent="0.3">
      <c r="A31" s="128" t="s">
        <v>199</v>
      </c>
      <c r="B31" s="9"/>
      <c r="C31" s="1">
        <v>0</v>
      </c>
      <c r="E31" s="34">
        <f>177.47</f>
        <v>177.47</v>
      </c>
      <c r="G31" s="34">
        <v>0</v>
      </c>
      <c r="I31" s="34">
        <v>0</v>
      </c>
      <c r="K31" s="60">
        <v>0</v>
      </c>
      <c r="M31" s="11">
        <f t="shared" si="1"/>
        <v>177.47</v>
      </c>
    </row>
    <row r="32" spans="1:13" ht="15.75" x14ac:dyDescent="0.3">
      <c r="A32" s="128" t="s">
        <v>162</v>
      </c>
      <c r="B32" s="9"/>
      <c r="C32" s="1">
        <f>80.77+91.2+29.89+3.54+2.27+18.21+118.39+83.48+97.83+135.36</f>
        <v>660.94</v>
      </c>
      <c r="E32" s="34">
        <f>2.58+97.78+101.12+56.7+20.85+135.36+91.35+63.25+134.09+132.77+33.87+130.59</f>
        <v>1000.3100000000001</v>
      </c>
      <c r="G32" s="34">
        <f>120.48+23.89+132.48+121.2+105.3+60.03+135.36</f>
        <v>698.74</v>
      </c>
      <c r="I32" s="34">
        <f>15.65+132.57+70+96.62+65.2+135.36+102.29+126.6+130.76+26.71</f>
        <v>901.7600000000001</v>
      </c>
      <c r="K32" s="60">
        <f>122.37+112.03+92.01+107.7+0.86+105.7+81.68+124.03+135.36</f>
        <v>881.74000000000012</v>
      </c>
      <c r="M32" s="11">
        <f t="shared" si="1"/>
        <v>4143.49</v>
      </c>
    </row>
    <row r="33" spans="1:13" ht="15.75" x14ac:dyDescent="0.3">
      <c r="A33" s="128" t="s">
        <v>165</v>
      </c>
      <c r="B33" s="9"/>
      <c r="C33" s="1">
        <f>800+400+400+300+1000+300+600</f>
        <v>3800</v>
      </c>
      <c r="E33" s="34">
        <f>50+900+900+400+300+100+1000+300</f>
        <v>3950</v>
      </c>
      <c r="G33" s="34">
        <f>1000+1000+400+146.63+900+400</f>
        <v>3846.63</v>
      </c>
      <c r="I33" s="34">
        <f>900+200+400+222+300+500+500+100+400+800</f>
        <v>4322</v>
      </c>
      <c r="K33" s="60">
        <f>500+300+300+1000+1000+1000+1000</f>
        <v>5100</v>
      </c>
      <c r="M33" s="11">
        <f t="shared" si="1"/>
        <v>21018.63</v>
      </c>
    </row>
    <row r="34" spans="1:13" ht="15.75" x14ac:dyDescent="0.3">
      <c r="A34" s="128" t="s">
        <v>211</v>
      </c>
      <c r="B34" s="9"/>
      <c r="C34" s="1">
        <f>-15.76-47.47-50.58-365.09-115.27-87.5-15.76-133.34</f>
        <v>-830.77</v>
      </c>
      <c r="E34" s="34">
        <f>-119.51-145.57-13.84-21.88-21.9-68.41-358.32-127.5</f>
        <v>-876.92999999999984</v>
      </c>
      <c r="G34" s="34">
        <f>-361.2-42.08-29.56-33.22-13.51-145.57-119.51</f>
        <v>-744.64999999999986</v>
      </c>
      <c r="I34" s="34">
        <f>-66.48-98.23-56.59-38.38</f>
        <v>-259.68</v>
      </c>
      <c r="K34" s="60">
        <f>-44.63-107.73-56.18-19.24-361.2-99.74-145.57-125.8</f>
        <v>-960.08999999999992</v>
      </c>
      <c r="M34" s="11">
        <f t="shared" si="1"/>
        <v>-3672.119999999999</v>
      </c>
    </row>
    <row r="35" spans="1:13" ht="15.75" x14ac:dyDescent="0.3">
      <c r="A35" s="128" t="s">
        <v>212</v>
      </c>
      <c r="B35" s="9"/>
      <c r="C35" s="1">
        <f>-80.22-137.8-0.08-119.4-13.52-128.74-0.14-137.11-0.14-124.82-69.5-0.33-74.66-77.94-0.76-135.94-0.74-246.92-121.88-299.18-304.31-93.18-0.47-132.62-79.43-0.52-0.16-130.45-482.92-118.73-371.03-167.06-69.4-74.57-89.69-348.15-71.66-132.54-246.92-89.96-104.36-119.93-385.92-72.31-77.83</f>
        <v>-5533.94</v>
      </c>
      <c r="E35" s="34">
        <f>-133.17-82.92-107.58-79.58-79.11-130.13-98.63-74.62-374.52-146.17-78.03-128.85-80.47-395.99-90.89-195.06-257-138.89-140.72-136.98-138.03-133.48-74.41-79.78-72.1-132.56-257.03-131.24-332.42-92.64-103.41-158.23-72.49-135.81-513.01-134.19-381.1-119.83</f>
        <v>-6011.07</v>
      </c>
      <c r="G35" s="34">
        <f>-93.67-75.22-148.64-107.6-75.63-73.12-75.83-14.12-269.67-130.51-290.3-83.33-6.74+149.61-62.53-150.5-513.01-72.57-374.52-75.66-395.99-73.05-75.63-133.8-132.27-194.61-76.6-57.76-126.16-275.7-140.72-147.42</f>
        <v>-4373.2700000000004</v>
      </c>
      <c r="I35" s="34">
        <f>-93.67-71.05-140.04-138.36-374.93-128.63-106.25-80.6-151.92-75.88-60.02-104.52-45.37-357.04-75.64-314.21-133.4-148.86-140.66-284.26-85.35-134.42-395.99-156.23-108.6-148.28-141.04-147.03-132.84-80.6-74.1-75.56</f>
        <v>-4705.3500000000013</v>
      </c>
      <c r="K35" s="60">
        <f>-138.07-79.16-147.99-84.83-137.99-308.87-92.89-136.46-147.76-85.02-107.49-141.15-381.1-17.5-138.71-139.82-374.76-81.17-134.16-90.97-90.47-108.6-267.03-84.89-183.14-129.65-75.53-130.13-513.01-262.44-269.41-29.4-133.56-374.52-395.99-150.76</f>
        <v>-6164.4</v>
      </c>
      <c r="M35" s="11">
        <f t="shared" si="1"/>
        <v>-26788.03</v>
      </c>
    </row>
    <row r="36" spans="1:13" ht="15.75" x14ac:dyDescent="0.3">
      <c r="A36" s="128" t="s">
        <v>63</v>
      </c>
      <c r="B36" s="9"/>
      <c r="C36" s="1">
        <f>-368.32-366.76-258.54-668.43-504.73-311.87-1000.25-153.69</f>
        <v>-3632.5899999999997</v>
      </c>
      <c r="E36" s="34">
        <f>-362.15-362.15-368.32-366.76-258.54-504.73-1000.25</f>
        <v>-3222.8999999999996</v>
      </c>
      <c r="G36" s="34">
        <f>-1000.25-366.76-258.54-668.43-635.01-362.15-153.69</f>
        <v>-3444.83</v>
      </c>
      <c r="I36" s="34">
        <f>-368.32-362.15-153.69-504.73-701.85</f>
        <v>-2090.7400000000002</v>
      </c>
      <c r="K36" s="60">
        <f>-668.43-311.87-362.15-1000.25-1000.25</f>
        <v>-3342.95</v>
      </c>
      <c r="M36" s="11">
        <f t="shared" si="1"/>
        <v>-15734.009999999998</v>
      </c>
    </row>
    <row r="37" spans="1:13" ht="15.75" x14ac:dyDescent="0.3">
      <c r="A37" s="128" t="s">
        <v>118</v>
      </c>
      <c r="B37" s="9"/>
      <c r="C37" s="1">
        <f>-499.78-253.43-125.99</f>
        <v>-879.2</v>
      </c>
      <c r="E37" s="34">
        <f>-1.99-403.3</f>
        <v>-405.29</v>
      </c>
      <c r="G37" s="34">
        <f>-51.98-1.99</f>
        <v>-53.97</v>
      </c>
      <c r="I37" s="34">
        <f>-321.23-1.99-1.99-1.99-274.84</f>
        <v>-602.04</v>
      </c>
      <c r="K37" s="60">
        <f>-368.32-190.1-580.16-457.53-479.35</f>
        <v>-2075.46</v>
      </c>
      <c r="M37" s="11">
        <f t="shared" si="1"/>
        <v>-4015.96</v>
      </c>
    </row>
    <row r="38" spans="1:13" ht="15.75" x14ac:dyDescent="0.3">
      <c r="A38" s="128" t="s">
        <v>87</v>
      </c>
      <c r="B38" s="9"/>
      <c r="C38" s="1">
        <f>-24.26-24.26-24.26-22.82-44.11-26.64-60.91-22.82</f>
        <v>-250.07999999999996</v>
      </c>
      <c r="E38" s="34">
        <f>-22.82-24.26-24.26-24.16-24.26-22.82-44.11-24.26-26.64-60.91</f>
        <v>-298.5</v>
      </c>
      <c r="G38" s="34">
        <f>-24.26-24.26-22.82-24.26-26.64-24.26-22.82</f>
        <v>-169.32</v>
      </c>
      <c r="I38" s="34">
        <f>-49.4-24.26-24.26-24.26-22.82-26.64-60.91-44.11-22.82</f>
        <v>-299.47999999999996</v>
      </c>
      <c r="K38" s="60">
        <f>-24.26-24.26-24.26-24.26-26.64-60.91-56.85-24.26-22.82-22.82-22.82-22.82-49.4-24.26-22.82-24.26</f>
        <v>-477.71999999999991</v>
      </c>
      <c r="M38" s="11">
        <f t="shared" si="1"/>
        <v>-1495.1</v>
      </c>
    </row>
    <row r="39" spans="1:13" ht="15.75" x14ac:dyDescent="0.3">
      <c r="A39" s="128" t="s">
        <v>171</v>
      </c>
      <c r="B39" s="9"/>
      <c r="C39" s="1">
        <v>0</v>
      </c>
      <c r="E39" s="34">
        <v>0</v>
      </c>
      <c r="G39" s="34">
        <v>0</v>
      </c>
      <c r="I39" s="34">
        <f>-82.34-26.27-40.43-36.67-40.43-49.3-28.33-44.4-26.27-30-28.33-101.52-26.27-73.52-46.67-30-38.04-71.67-26.67-40.43</f>
        <v>-887.55999999999972</v>
      </c>
      <c r="K39" s="60">
        <f>-38.04-133.33-43.33-101.52-28.33-40-40.43-38.04-26.27-26.27-28.33-40.43-40.43</f>
        <v>-624.74999999999989</v>
      </c>
      <c r="M39" s="11">
        <f t="shared" si="1"/>
        <v>-1512.3099999999995</v>
      </c>
    </row>
    <row r="40" spans="1:13" ht="15.75" x14ac:dyDescent="0.3">
      <c r="A40" s="128" t="s">
        <v>163</v>
      </c>
      <c r="B40" s="9"/>
      <c r="C40" s="1">
        <f>-0.17-0.62-0.75-0.2-0.48-0.55-0.52-0.29-0.31-0.76-0.28-0.19-0.31-0.25-0.4-0.38-0.17-1.18-0.27-0.43-0.05-0.21-0.77-0.01-0.92-0.54-0.66-0.21-0.35-0.16-0.69-0.79-0.4-0.7-0.04-0.44-0.99-0.95-0.51-0.1-0.52-0.35-0.58-0.3-0.49-0.23-0.48-0.6-0.63-0.52-0.4-0.93-0.64-0.31-0.04-0.75-0.38-0.77-0.72-0.96-0.65-0.36-0.62-0.19-0.81-0.34-0.94-0.27-0.75-0.24-0.64-0.91-0.7-0.06-0.61</f>
        <v>-36.69</v>
      </c>
      <c r="E40" s="34">
        <f>0.02-0.04-0.44-0.7-0.37-0.66-0.03-0.44-0.02-0.92-0.71-0.89-0.69-0.8-0.1-0.3-0.67-0.71-0.65-0.46-0.75-0.46-0.33-0.35-0.57-0.35-0.73-0.97-0.37-0.81-0.77-0.08-0.74-1.46-0.52-0.81-0.21-0.38-0.9-0.6-0.05</f>
        <v>-21.79</v>
      </c>
      <c r="G40" s="34">
        <f>-0.38-0.27-0.89-0.64-0.59-0.38-0.11-0.57-0.72-0.8-0.13-0.82-0.1-0.82-0.92-0.59-0.76-0.22-0.14-0.41-0.37-0.84-0.43-0.84-0.23-0.51-0.48-0.9-0.45-0.15-0.84-0.46</f>
        <v>-16.760000000000002</v>
      </c>
      <c r="I40" s="34">
        <f>-0.07-0.36-0.24-0.25-0.18-0.35-0.11-0.89-0.68-0.75-0.02-0.31-0.46-0.24-0.73-0.31-0.94-0.94-0.47-0.65-0.36-0.94</f>
        <v>-10.25</v>
      </c>
      <c r="K40" s="60">
        <f>-0.76-0.83-0.19-0.35-0.13-0.13-0.76-0.67-0.95-0.01-0.5-0.66-0.68-0.26-12-0.48-0.64-0.67-0.83-0.76-0.31-0.22-0.45-0.62-0.77-0.35-0.57-0.45-0.64-0.92-0.4-0.36-0.08-0.22-0.75-0.22-0.16-0.5-0.75-0.04-0.58-0.03</f>
        <v>-31.649999999999995</v>
      </c>
      <c r="M40" s="11">
        <f t="shared" si="1"/>
        <v>-117.13999999999999</v>
      </c>
    </row>
    <row r="41" spans="1:13" ht="15.75" x14ac:dyDescent="0.3">
      <c r="A41" s="128" t="s">
        <v>161</v>
      </c>
      <c r="B41" s="9"/>
      <c r="C41" s="1">
        <f>-2.8-5.73-255.78-2.83-0.54-0.61-24.25-120.89-11.27-16.39-4.64-44.4-2.69-98.15-0.99-22.87-9.48-39.49-3.25-1.9-5.44-393.44-22.99</f>
        <v>-1090.82</v>
      </c>
      <c r="E41" s="34">
        <f>70.98-43.95-38.4-60.5-25.81-8.13-2.03-5.37-23.5-38.75-13.14-40.43-2.22-26.58-51.35-7.27-6.02-19.6-10.29-5.73-80.05-103.08-7.41-49.34</f>
        <v>-597.97000000000014</v>
      </c>
      <c r="G41" s="34">
        <f>-4.41-2.36-200.33-0.11-26.25-0.47-0.57-12.88-3.68-86-8.11-1.68+190.59-16.28-4.38-3.04-195.58-1.61-68.77-38.1-1.08-50.44-0.11-26.97-3.12-32.06</f>
        <v>-597.80000000000018</v>
      </c>
      <c r="I41" s="34">
        <f>-60.89-33.69-2.83-14.15-2.29-104.72-2.82-9.82-2.69-2.74-0.15-2.98+147.37-54.91-81.74-9.21-1.89-7.61-19.34-26.79-0.9</f>
        <v>-294.78999999999996</v>
      </c>
      <c r="K41" s="60">
        <f>-0.9-7.45-9.3-128.32-6.75-1.68-50.54-6.47-1.9-0.08-1.75-29.01-1.07-47.35-4.37-7.5-1.6-6.27</f>
        <v>-312.31</v>
      </c>
      <c r="M41" s="11">
        <f t="shared" si="1"/>
        <v>-2893.69</v>
      </c>
    </row>
    <row r="42" spans="1:13" ht="15.75" x14ac:dyDescent="0.3">
      <c r="A42" s="128" t="s">
        <v>181</v>
      </c>
      <c r="B42" s="9"/>
      <c r="C42" s="1">
        <f>2000</f>
        <v>2000</v>
      </c>
      <c r="E42" s="34">
        <f>2000</f>
        <v>2000</v>
      </c>
      <c r="G42" s="34">
        <v>0</v>
      </c>
      <c r="I42" s="34">
        <v>0</v>
      </c>
      <c r="K42" s="60">
        <v>0</v>
      </c>
      <c r="M42" s="11">
        <f t="shared" si="1"/>
        <v>4000</v>
      </c>
    </row>
    <row r="43" spans="1:13" ht="15.75" x14ac:dyDescent="0.3">
      <c r="A43" s="128" t="s">
        <v>65</v>
      </c>
      <c r="B43" s="9"/>
      <c r="C43" s="1">
        <f>4000+2000+1522.75+3045.5+1750+787.5+606.45+252.69+850+425+66.66+0.12+14.3+25+25+15.22</f>
        <v>15386.19</v>
      </c>
      <c r="E43" s="34">
        <v>0</v>
      </c>
      <c r="G43" s="34">
        <v>0</v>
      </c>
      <c r="I43" s="34">
        <v>0</v>
      </c>
      <c r="K43" s="60">
        <v>0</v>
      </c>
      <c r="M43" s="11">
        <f t="shared" si="1"/>
        <v>15386.19</v>
      </c>
    </row>
    <row r="44" spans="1:13" ht="15.75" x14ac:dyDescent="0.3">
      <c r="A44" s="128" t="s">
        <v>186</v>
      </c>
      <c r="B44" s="9"/>
      <c r="C44" s="1">
        <f>-2193.24-1776.34-898.18-342.98-514.56</f>
        <v>-5725.2999999999993</v>
      </c>
      <c r="E44" s="34">
        <v>0</v>
      </c>
      <c r="G44" s="34">
        <v>0</v>
      </c>
      <c r="I44" s="34">
        <v>0</v>
      </c>
      <c r="K44" s="60">
        <v>0</v>
      </c>
      <c r="M44" s="11">
        <f t="shared" si="1"/>
        <v>-5725.2999999999993</v>
      </c>
    </row>
    <row r="45" spans="1:13" ht="16.5" x14ac:dyDescent="0.3">
      <c r="A45" s="106" t="s">
        <v>185</v>
      </c>
      <c r="B45" s="9"/>
      <c r="C45" s="1">
        <f>-213.22-141.2-1.19-4.56-0.05-18.75-2.04-0.44</f>
        <v>-381.45</v>
      </c>
      <c r="E45" s="34">
        <f>-715.85</f>
        <v>-715.85</v>
      </c>
      <c r="G45" s="34">
        <v>0</v>
      </c>
      <c r="I45" s="34">
        <v>0</v>
      </c>
      <c r="K45" s="60">
        <v>0</v>
      </c>
      <c r="M45" s="11">
        <f t="shared" si="1"/>
        <v>-1097.3</v>
      </c>
    </row>
    <row r="46" spans="1:13" ht="15.75" x14ac:dyDescent="0.3">
      <c r="A46" s="128" t="s">
        <v>193</v>
      </c>
      <c r="B46" s="9"/>
      <c r="C46" s="1">
        <f>-482.92-392.39-178.37-64.93-82.35-6.01-0.13-0.09-3.14-2-1.67-2.29-0.27-0.76-0.41-0.13-0.07-1.3-0.36</f>
        <v>-1219.5899999999999</v>
      </c>
      <c r="E46" s="34">
        <f>-0.54-0.79-470.75-266.7-26.63</f>
        <v>-765.41</v>
      </c>
      <c r="G46" s="34">
        <v>0</v>
      </c>
      <c r="I46" s="34">
        <v>0</v>
      </c>
      <c r="K46" s="60">
        <v>0</v>
      </c>
      <c r="M46" s="11">
        <f t="shared" si="1"/>
        <v>-1985</v>
      </c>
    </row>
    <row r="47" spans="1:13" ht="15.75" x14ac:dyDescent="0.3">
      <c r="A47" s="128" t="s">
        <v>64</v>
      </c>
      <c r="B47" s="9"/>
      <c r="C47" s="1">
        <v>0</v>
      </c>
      <c r="E47" s="34">
        <f>1558.96</f>
        <v>1558.96</v>
      </c>
      <c r="G47" s="34">
        <f>5716.11+1853.65+4402.91</f>
        <v>11972.67</v>
      </c>
      <c r="I47" s="34">
        <f>1609.34+3487.65</f>
        <v>5096.99</v>
      </c>
      <c r="K47" s="60">
        <f>3808.4+3162.31+2251.18+712.79</f>
        <v>9934.68</v>
      </c>
      <c r="M47" s="11">
        <f t="shared" si="1"/>
        <v>28563.300000000003</v>
      </c>
    </row>
    <row r="48" spans="1:13" ht="15.75" x14ac:dyDescent="0.3">
      <c r="A48" s="128" t="s">
        <v>151</v>
      </c>
      <c r="B48" s="9"/>
      <c r="C48" s="1">
        <v>0</v>
      </c>
      <c r="E48" s="34">
        <v>0</v>
      </c>
      <c r="G48" s="34">
        <f>5750.23+842.6</f>
        <v>6592.83</v>
      </c>
      <c r="I48" s="34">
        <f>1113.09</f>
        <v>1113.0899999999999</v>
      </c>
      <c r="K48" s="60">
        <f>564.22+1092.37+1173.39+3398.24</f>
        <v>6228.2199999999993</v>
      </c>
      <c r="M48" s="11">
        <f t="shared" si="1"/>
        <v>13934.14</v>
      </c>
    </row>
    <row r="49" spans="1:13" ht="15.75" x14ac:dyDescent="0.3">
      <c r="A49" s="128" t="s">
        <v>170</v>
      </c>
      <c r="B49" s="9"/>
      <c r="C49" s="1">
        <f>1471.03+3092.96+1212.9+121.59+132.51+1955.66+850</f>
        <v>8836.65</v>
      </c>
      <c r="E49" s="34">
        <f>2684.96+1212.9+1891.67+157.87+1479+838.1</f>
        <v>8264.5</v>
      </c>
      <c r="G49" s="34">
        <f>1425.37+1565.74+1553.88+3803.62+1132.04+1361.67+793.33+2180.85</f>
        <v>13816.500000000002</v>
      </c>
      <c r="I49" s="34">
        <f>3615.64+2470.2+2876.61+5721.27+1748.71+80.86+733.33-793.33+203.03+71.67+56.67</f>
        <v>16784.659999999996</v>
      </c>
      <c r="K49" s="60">
        <v>0</v>
      </c>
      <c r="M49" s="11">
        <f t="shared" si="1"/>
        <v>47702.31</v>
      </c>
    </row>
    <row r="50" spans="1:13" ht="15.75" x14ac:dyDescent="0.3">
      <c r="A50" s="128" t="s">
        <v>169</v>
      </c>
      <c r="B50" s="9"/>
      <c r="C50" s="1">
        <f>-1176.46-1955.66-1249.01</f>
        <v>-4381.13</v>
      </c>
      <c r="E50" s="34">
        <f>-1471.03-3092.96-157.87</f>
        <v>-4721.8599999999997</v>
      </c>
      <c r="G50" s="34">
        <f>-1461.36-1765.55-1395.09</f>
        <v>-4622</v>
      </c>
      <c r="I50" s="34">
        <f>-3615.64-126.12-1435.78-1450.28-253.57-1289.87</f>
        <v>-8171.2599999999993</v>
      </c>
      <c r="K50" s="60">
        <f>-3550.05-1748.71-5721.27-1958.54-104.38</f>
        <v>-13082.949999999999</v>
      </c>
      <c r="M50" s="11">
        <f t="shared" si="1"/>
        <v>-34979.199999999997</v>
      </c>
    </row>
    <row r="51" spans="1:13" x14ac:dyDescent="0.25">
      <c r="A51" s="129" t="s">
        <v>229</v>
      </c>
      <c r="B51" s="9"/>
      <c r="C51" s="1">
        <f>319.69+144.8+64.27+750+144.8+325+120.84+72.4+0.76+0.58+99.69+81.5+72.4+0.66+210.65+166.28+144.8+0.7+7.43+103.89+120.67+0.75+3.79+52.59+54.3+0.82+46.47+86.39+72.4+0.2+18.92+41.2+30.17+0.02+0.44+72.4+8.01+9.15+0.51+144.8+16.01+18.59+1.39+2.76+2.62+2.85+0.35+537.27+144.8+16.01+18.59+144.8+343.13+83.33+0.45+25+3.35+9.44+5.12+1.46+0.86+16.21+3.29</f>
        <v>4992.8200000000015</v>
      </c>
      <c r="E51" s="34">
        <f>4.49+1.55+503.62+144.8+97.18+55.98+1069.89+747.57+52.3+930.8+606.14+423.62+28.72+527.99</f>
        <v>5194.6500000000005</v>
      </c>
      <c r="G51" s="34">
        <f>96.05+6.39+220.64+485.04+577.81+91.71+26.71+253.33+8.1+0.13+2.74+401.47+135.15+85.37+190.56+11.94+0.92+4.29</f>
        <v>2598.35</v>
      </c>
      <c r="I51" s="34">
        <f>1139.69+236.4+32.11+680.37+6.86+0.46+15.76+34.65+388.89+14.49+105.07+413.93+19.44+0.72+5.25+36.67+20.69+194.44+60.42+147.09+398.43+10.39+6.89+15.76+78.69+304.11+0.07+4.28+1.45+0.14+0.42+13.33+1.41+4.83+30.41+133.34+14.06+48.26+716.67+28.68+9.65+6.1+13.61+0.86+0.06+0.3</f>
        <v>5395.6</v>
      </c>
      <c r="K51" s="60">
        <f>56.67+13.89+4.32+10.51+28.46+1101.68+220.64+96.52+145.42+2842.47+1141.07+51.35+12.42+236.4+480.41+2666.67+411.11+105.07+1060.95+216.24+530.47+1333.33+52.53+205.56+25.5+43.33+5.25+0.14+27.78+510.04+105.07+2.82+555.55+866.67+0.94</f>
        <v>15167.25</v>
      </c>
      <c r="M51" s="11">
        <f t="shared" si="1"/>
        <v>33348.67</v>
      </c>
    </row>
    <row r="52" spans="1:13" ht="16.5" x14ac:dyDescent="0.3">
      <c r="A52" s="106" t="s">
        <v>168</v>
      </c>
      <c r="B52" s="9"/>
      <c r="C52" s="1">
        <v>0</v>
      </c>
      <c r="E52" s="34">
        <v>0</v>
      </c>
      <c r="G52" s="34">
        <f>-26.9-0.82</f>
        <v>-27.72</v>
      </c>
      <c r="I52" s="34">
        <f>-309.93-22.93-1.42</f>
        <v>-334.28000000000003</v>
      </c>
      <c r="K52" s="60">
        <f>-321.02-172.94-177.61</f>
        <v>-671.56999999999994</v>
      </c>
      <c r="M52" s="11">
        <f t="shared" si="1"/>
        <v>-1033.57</v>
      </c>
    </row>
    <row r="53" spans="1:13" ht="15.75" x14ac:dyDescent="0.3">
      <c r="A53" s="128" t="s">
        <v>66</v>
      </c>
      <c r="B53" s="9"/>
      <c r="C53" s="1">
        <f>-102.3-193.41-123.52</f>
        <v>-419.22999999999996</v>
      </c>
      <c r="E53" s="34">
        <f>-181.3</f>
        <v>-181.3</v>
      </c>
      <c r="G53" s="34">
        <f>-144.52-0.85-174.61-1.78-254.23-31.26</f>
        <v>-607.25</v>
      </c>
      <c r="I53" s="34">
        <f>-501.46-149.01-72.97-12.47-143.43-5.68-0.42-34.2-13.38</f>
        <v>-933.0200000000001</v>
      </c>
      <c r="K53" s="60">
        <f>-13.43-10.25-103.6-12.49-478.81-466.81-183.61-70.49-10.33</f>
        <v>-1349.82</v>
      </c>
      <c r="M53" s="11">
        <f t="shared" si="1"/>
        <v>-3490.62</v>
      </c>
    </row>
    <row r="54" spans="1:13" ht="15.75" x14ac:dyDescent="0.3">
      <c r="A54" s="128" t="s">
        <v>198</v>
      </c>
      <c r="B54" s="9"/>
      <c r="C54" s="1">
        <v>0</v>
      </c>
      <c r="E54" s="34">
        <f>-2000</f>
        <v>-2000</v>
      </c>
      <c r="G54" s="34">
        <v>0</v>
      </c>
      <c r="I54" s="34">
        <v>0</v>
      </c>
      <c r="K54" s="60">
        <v>0</v>
      </c>
      <c r="M54" s="11">
        <f t="shared" si="1"/>
        <v>-2000</v>
      </c>
    </row>
    <row r="55" spans="1:13" s="32" customFormat="1" ht="15.75" x14ac:dyDescent="0.3">
      <c r="A55" s="118" t="s">
        <v>32</v>
      </c>
      <c r="C55" s="81">
        <f>SUM(C19:C54)</f>
        <v>66033.065000000017</v>
      </c>
      <c r="E55" s="81">
        <f>SUM(E19:E54)</f>
        <v>62022.750000000007</v>
      </c>
      <c r="G55" s="81">
        <f>SUM(G19:G54)</f>
        <v>75189.649999999994</v>
      </c>
      <c r="I55" s="81">
        <f>SUM(I19:I54)</f>
        <v>60373.919999999984</v>
      </c>
      <c r="K55" s="81">
        <f>SUM(K19:K54)</f>
        <v>66308.850000000006</v>
      </c>
      <c r="M55" s="79">
        <f>SUM(C55+E55+G55+I55+K55)</f>
        <v>329928.23499999999</v>
      </c>
    </row>
    <row r="56" spans="1:13" ht="15.75" x14ac:dyDescent="0.3">
      <c r="A56" s="127" t="s">
        <v>174</v>
      </c>
      <c r="B56" s="9"/>
      <c r="C56" s="1"/>
      <c r="E56" s="34"/>
      <c r="G56" s="34"/>
      <c r="I56" s="34"/>
      <c r="K56" s="60"/>
      <c r="M56" s="76"/>
    </row>
    <row r="57" spans="1:13" ht="15.75" x14ac:dyDescent="0.3">
      <c r="A57" s="130" t="s">
        <v>175</v>
      </c>
      <c r="B57" s="9"/>
      <c r="C57" s="1">
        <f>2400</f>
        <v>2400</v>
      </c>
      <c r="E57" s="34">
        <f>1000+2400</f>
        <v>3400</v>
      </c>
      <c r="G57" s="34">
        <v>2400</v>
      </c>
      <c r="I57" s="34">
        <f>2400</f>
        <v>2400</v>
      </c>
      <c r="K57" s="60">
        <f>2400</f>
        <v>2400</v>
      </c>
      <c r="M57" s="11">
        <f>SUM(C57+E57+G57+I57+K57)</f>
        <v>13000</v>
      </c>
    </row>
    <row r="58" spans="1:13" ht="15.75" x14ac:dyDescent="0.3">
      <c r="A58" s="130" t="s">
        <v>73</v>
      </c>
      <c r="B58" s="9"/>
      <c r="C58" s="1">
        <f>724</f>
        <v>724</v>
      </c>
      <c r="E58" s="34">
        <f>788</f>
        <v>788</v>
      </c>
      <c r="G58" s="34">
        <f>788</f>
        <v>788</v>
      </c>
      <c r="I58" s="34">
        <f>788</f>
        <v>788</v>
      </c>
      <c r="K58" s="60">
        <f>788</f>
        <v>788</v>
      </c>
      <c r="M58" s="11">
        <f>SUM(C58+E58+G58+I58+K58)</f>
        <v>3876</v>
      </c>
    </row>
    <row r="59" spans="1:13" ht="15.75" x14ac:dyDescent="0.3">
      <c r="A59" s="130"/>
      <c r="B59" s="9"/>
      <c r="C59" s="1"/>
      <c r="E59" s="34"/>
      <c r="G59" s="34"/>
      <c r="I59" s="34"/>
      <c r="K59" s="60"/>
      <c r="M59" s="76"/>
    </row>
    <row r="60" spans="1:13" s="32" customFormat="1" ht="15.75" x14ac:dyDescent="0.3">
      <c r="A60" s="118" t="s">
        <v>32</v>
      </c>
      <c r="C60" s="81">
        <f>SUM(C57:C59)</f>
        <v>3124</v>
      </c>
      <c r="E60" s="81">
        <f>SUM(E57:E59)</f>
        <v>4188</v>
      </c>
      <c r="G60" s="81">
        <f>SUM(G57:G59)</f>
        <v>3188</v>
      </c>
      <c r="I60" s="81">
        <f>SUM(I57:I59)</f>
        <v>3188</v>
      </c>
      <c r="K60" s="81">
        <f>SUM(K57:K58)</f>
        <v>3188</v>
      </c>
      <c r="M60" s="79">
        <f>SUM(M57:M59)</f>
        <v>16876</v>
      </c>
    </row>
    <row r="61" spans="1:13" s="32" customFormat="1" ht="18" x14ac:dyDescent="0.35">
      <c r="A61" s="131" t="s">
        <v>213</v>
      </c>
      <c r="B61" s="9"/>
      <c r="C61" s="69"/>
      <c r="E61" s="69"/>
      <c r="G61" s="69"/>
      <c r="I61" s="69"/>
      <c r="K61" s="69"/>
      <c r="M61" s="76"/>
    </row>
    <row r="62" spans="1:13" s="32" customFormat="1" ht="16.5" x14ac:dyDescent="0.3">
      <c r="A62" s="132" t="s">
        <v>214</v>
      </c>
      <c r="B62" s="9"/>
      <c r="C62" s="60">
        <f>7428.99</f>
        <v>7428.99</v>
      </c>
      <c r="D62" s="61"/>
      <c r="E62" s="1">
        <f>7766.99+7600.76</f>
        <v>15367.75</v>
      </c>
      <c r="F62" s="61"/>
      <c r="G62" s="60">
        <v>0</v>
      </c>
      <c r="H62" s="61"/>
      <c r="I62" s="60"/>
      <c r="J62" s="61"/>
      <c r="K62" s="60">
        <f>6051.96</f>
        <v>6051.96</v>
      </c>
      <c r="M62" s="76">
        <f>SUM(C62+E62+G62+I62+K62)</f>
        <v>28848.699999999997</v>
      </c>
    </row>
    <row r="63" spans="1:13" s="32" customFormat="1" ht="16.5" x14ac:dyDescent="0.3">
      <c r="A63" s="132" t="s">
        <v>215</v>
      </c>
      <c r="B63" s="9"/>
      <c r="C63" s="60">
        <f>6005.62</f>
        <v>6005.62</v>
      </c>
      <c r="D63" s="61"/>
      <c r="E63" s="60">
        <f>5901.09+8616.91</f>
        <v>14518</v>
      </c>
      <c r="F63" s="61"/>
      <c r="G63" s="60">
        <v>0</v>
      </c>
      <c r="H63" s="61"/>
      <c r="I63" s="60">
        <f>8793.35+6116.57+5851.22</f>
        <v>20761.14</v>
      </c>
      <c r="J63" s="61"/>
      <c r="K63" s="60">
        <f>6177.85</f>
        <v>6177.85</v>
      </c>
      <c r="M63" s="76">
        <f t="shared" ref="M63:M67" si="2">SUM(C63+E63+G63+I63+K63)</f>
        <v>47462.609999999993</v>
      </c>
    </row>
    <row r="64" spans="1:13" s="32" customFormat="1" ht="16.5" x14ac:dyDescent="0.3">
      <c r="A64" s="132" t="s">
        <v>216</v>
      </c>
      <c r="B64" s="9"/>
      <c r="C64" s="60">
        <v>0</v>
      </c>
      <c r="D64" s="61"/>
      <c r="E64" s="60">
        <f>5678.94+5702.34</f>
        <v>11381.279999999999</v>
      </c>
      <c r="F64" s="61"/>
      <c r="G64" s="60">
        <v>0</v>
      </c>
      <c r="H64" s="61"/>
      <c r="I64" s="60">
        <f>927.87+5059.06+6011.62</f>
        <v>11998.55</v>
      </c>
      <c r="J64" s="61"/>
      <c r="K64" s="60">
        <f>10697.88</f>
        <v>10697.88</v>
      </c>
      <c r="M64" s="76">
        <f t="shared" si="2"/>
        <v>34077.71</v>
      </c>
    </row>
    <row r="65" spans="1:13" s="32" customFormat="1" ht="16.5" x14ac:dyDescent="0.3">
      <c r="A65" s="132" t="s">
        <v>217</v>
      </c>
      <c r="B65" s="9"/>
      <c r="C65" s="60">
        <v>0</v>
      </c>
      <c r="D65" s="61"/>
      <c r="E65" s="60">
        <f>575.39+535.85</f>
        <v>1111.24</v>
      </c>
      <c r="F65" s="61"/>
      <c r="G65" s="60">
        <v>0</v>
      </c>
      <c r="H65" s="61"/>
      <c r="I65" s="60">
        <f>680.59+693.24+305.92+161.8</f>
        <v>1841.55</v>
      </c>
      <c r="J65" s="61"/>
      <c r="K65" s="60">
        <f>731.81</f>
        <v>731.81</v>
      </c>
      <c r="M65" s="76">
        <f t="shared" si="2"/>
        <v>3684.6</v>
      </c>
    </row>
    <row r="66" spans="1:13" s="32" customFormat="1" ht="16.5" x14ac:dyDescent="0.3">
      <c r="A66" s="132" t="s">
        <v>218</v>
      </c>
      <c r="B66" s="9"/>
      <c r="C66" s="60">
        <v>0</v>
      </c>
      <c r="D66" s="61"/>
      <c r="E66" s="60">
        <f>1084.35+1089.08</f>
        <v>2173.4299999999998</v>
      </c>
      <c r="F66" s="61"/>
      <c r="G66" s="60">
        <v>0</v>
      </c>
      <c r="H66" s="61"/>
      <c r="I66" s="60">
        <f>1053.44+1175.03+2770.74+1497.1</f>
        <v>6496.3099999999995</v>
      </c>
      <c r="J66" s="61"/>
      <c r="K66" s="60">
        <f>1316.74</f>
        <v>1316.74</v>
      </c>
      <c r="M66" s="76">
        <f t="shared" si="2"/>
        <v>9986.48</v>
      </c>
    </row>
    <row r="67" spans="1:13" s="32" customFormat="1" ht="16.5" x14ac:dyDescent="0.3">
      <c r="A67" s="132" t="s">
        <v>219</v>
      </c>
      <c r="B67" s="9"/>
      <c r="C67" s="60">
        <v>0</v>
      </c>
      <c r="D67" s="61"/>
      <c r="E67" s="60">
        <f>834.19+891.21</f>
        <v>1725.4</v>
      </c>
      <c r="F67" s="61"/>
      <c r="G67" s="60">
        <v>0</v>
      </c>
      <c r="H67" s="61"/>
      <c r="I67" s="60">
        <f>1579.51+812.18+854.57+824.01</f>
        <v>4070.2700000000004</v>
      </c>
      <c r="J67" s="61"/>
      <c r="K67" s="60">
        <f>893.49</f>
        <v>893.49</v>
      </c>
      <c r="M67" s="76">
        <f t="shared" si="2"/>
        <v>6689.16</v>
      </c>
    </row>
    <row r="68" spans="1:13" s="32" customFormat="1" ht="18" x14ac:dyDescent="0.35">
      <c r="A68" s="133" t="s">
        <v>32</v>
      </c>
      <c r="B68" s="3"/>
      <c r="C68" s="81">
        <f>SUM(C62:C67)</f>
        <v>13434.61</v>
      </c>
      <c r="E68" s="81">
        <f>SUM(E62:E67)</f>
        <v>46277.1</v>
      </c>
      <c r="G68" s="81">
        <f>SUM(G62:G67)</f>
        <v>0</v>
      </c>
      <c r="I68" s="81">
        <f>SUM(I62:I67)</f>
        <v>45167.819999999992</v>
      </c>
      <c r="K68" s="81">
        <f>SUM(K62:K67)</f>
        <v>25869.730000000007</v>
      </c>
      <c r="M68" s="79">
        <f>SUM(C68+E68+G68+I68+K68)</f>
        <v>130749.26000000001</v>
      </c>
    </row>
    <row r="69" spans="1:13" s="32" customFormat="1" ht="16.5" x14ac:dyDescent="0.3">
      <c r="A69" s="127" t="s">
        <v>51</v>
      </c>
      <c r="B69" s="9"/>
      <c r="C69" s="69"/>
      <c r="E69" s="69"/>
      <c r="G69" s="69"/>
      <c r="I69" s="69"/>
      <c r="K69" s="69"/>
      <c r="M69" s="93">
        <v>2</v>
      </c>
    </row>
    <row r="70" spans="1:13" s="32" customFormat="1" ht="15.75" x14ac:dyDescent="0.3">
      <c r="A70" s="128" t="s">
        <v>220</v>
      </c>
      <c r="B70" s="9"/>
      <c r="C70" s="1">
        <f>547.38+552.21</f>
        <v>1099.5900000000001</v>
      </c>
      <c r="D70"/>
      <c r="E70" s="1">
        <v>556.94000000000005</v>
      </c>
      <c r="F70"/>
      <c r="G70" s="1">
        <f>561.06</f>
        <v>561.05999999999995</v>
      </c>
      <c r="H70"/>
      <c r="I70" s="1">
        <f>566.3</f>
        <v>566.29999999999995</v>
      </c>
      <c r="J70"/>
      <c r="K70" s="1">
        <f>571.08</f>
        <v>571.08000000000004</v>
      </c>
      <c r="L70"/>
      <c r="M70" s="11">
        <f t="shared" ref="M70:M72" si="3">SUM(C70+E70+G70+I70+K70)</f>
        <v>3354.9700000000003</v>
      </c>
    </row>
    <row r="71" spans="1:13" s="32" customFormat="1" ht="15.75" x14ac:dyDescent="0.3">
      <c r="A71" s="128" t="s">
        <v>221</v>
      </c>
      <c r="B71" s="9"/>
      <c r="C71" s="1">
        <v>0</v>
      </c>
      <c r="D71"/>
      <c r="E71" s="1">
        <f>602.49+602.49</f>
        <v>1204.98</v>
      </c>
      <c r="F71"/>
      <c r="G71" s="1">
        <f>607.02</f>
        <v>607.02</v>
      </c>
      <c r="H71"/>
      <c r="I71" s="1">
        <f>612.76</f>
        <v>612.76</v>
      </c>
      <c r="J71"/>
      <c r="K71" s="1">
        <f>618.01</f>
        <v>618.01</v>
      </c>
      <c r="L71"/>
      <c r="M71" s="11">
        <f t="shared" si="3"/>
        <v>3042.7700000000004</v>
      </c>
    </row>
    <row r="72" spans="1:13" s="32" customFormat="1" ht="15.75" x14ac:dyDescent="0.3">
      <c r="A72" s="128" t="s">
        <v>222</v>
      </c>
      <c r="B72" s="9"/>
      <c r="C72" s="1">
        <v>0</v>
      </c>
      <c r="D72"/>
      <c r="E72" s="1">
        <v>0</v>
      </c>
      <c r="F72"/>
      <c r="G72" s="1">
        <v>0</v>
      </c>
      <c r="H72"/>
      <c r="I72" s="1">
        <f>501.17</f>
        <v>501.17</v>
      </c>
      <c r="J72"/>
      <c r="K72" s="1">
        <f>506.18</f>
        <v>506.18</v>
      </c>
      <c r="L72"/>
      <c r="M72" s="11">
        <f t="shared" si="3"/>
        <v>1007.35</v>
      </c>
    </row>
    <row r="73" spans="1:13" s="32" customFormat="1" ht="15.75" x14ac:dyDescent="0.3">
      <c r="A73" s="134" t="s">
        <v>32</v>
      </c>
      <c r="B73" s="33"/>
      <c r="C73" s="81">
        <f>SUM(C70:C72)</f>
        <v>1099.5900000000001</v>
      </c>
      <c r="E73" s="81">
        <f>SUM(E70:E72)</f>
        <v>1761.92</v>
      </c>
      <c r="G73" s="81">
        <f>SUM(G70:G72)</f>
        <v>1168.08</v>
      </c>
      <c r="I73" s="81">
        <f>SUM(I70:I72)</f>
        <v>1680.23</v>
      </c>
      <c r="K73" s="81">
        <f>SUM(K70:K72)</f>
        <v>1695.2700000000002</v>
      </c>
      <c r="M73" s="79">
        <f>SUM(C73+E73+G73+I73+K73)</f>
        <v>7405.09</v>
      </c>
    </row>
    <row r="74" spans="1:13" ht="15.75" x14ac:dyDescent="0.3">
      <c r="A74" s="127" t="s">
        <v>223</v>
      </c>
      <c r="B74" s="9"/>
      <c r="C74" s="1"/>
      <c r="E74" s="34"/>
      <c r="G74" s="34"/>
      <c r="I74" s="34"/>
      <c r="K74" s="60"/>
      <c r="M74" s="76"/>
    </row>
    <row r="75" spans="1:13" ht="15.75" x14ac:dyDescent="0.3">
      <c r="A75" s="128" t="s">
        <v>224</v>
      </c>
      <c r="B75" s="9"/>
      <c r="C75" s="60">
        <f>5924.94</f>
        <v>5924.94</v>
      </c>
      <c r="E75" s="34">
        <v>6174.81</v>
      </c>
      <c r="G75" s="34">
        <v>6174.81</v>
      </c>
      <c r="I75" s="34">
        <f>6304.81</f>
        <v>6304.81</v>
      </c>
      <c r="K75" s="60">
        <f>6174.81</f>
        <v>6174.81</v>
      </c>
      <c r="M75" s="11">
        <f>SUM(C75+E75+G75+I75+K75)</f>
        <v>30754.180000000004</v>
      </c>
    </row>
    <row r="76" spans="1:13" ht="15.75" x14ac:dyDescent="0.3">
      <c r="A76" s="134" t="s">
        <v>32</v>
      </c>
      <c r="B76" s="32"/>
      <c r="C76" s="81">
        <f>SUM(C75)</f>
        <v>5924.94</v>
      </c>
      <c r="D76" s="32"/>
      <c r="E76" s="81">
        <f>SUM(E75)</f>
        <v>6174.81</v>
      </c>
      <c r="F76" s="32"/>
      <c r="G76" s="81">
        <f>SUM(G75)</f>
        <v>6174.81</v>
      </c>
      <c r="H76" s="32"/>
      <c r="I76" s="81">
        <f>SUM(I75)</f>
        <v>6304.81</v>
      </c>
      <c r="J76" s="32"/>
      <c r="K76" s="81">
        <f>SUM(K75)</f>
        <v>6174.81</v>
      </c>
      <c r="L76" s="32"/>
      <c r="M76" s="79">
        <f>SUM(C76+E76+G76+I76+K76)</f>
        <v>30754.180000000004</v>
      </c>
    </row>
    <row r="77" spans="1:13" ht="15.75" x14ac:dyDescent="0.3">
      <c r="A77" s="127" t="s">
        <v>68</v>
      </c>
      <c r="B77" s="9"/>
      <c r="C77" s="1"/>
      <c r="E77" s="34"/>
      <c r="G77" s="34"/>
      <c r="I77" s="34"/>
      <c r="K77" s="60"/>
      <c r="M77" s="76"/>
    </row>
    <row r="78" spans="1:13" ht="15.75" x14ac:dyDescent="0.3">
      <c r="A78" s="128" t="s">
        <v>112</v>
      </c>
      <c r="B78" s="9"/>
      <c r="C78" s="1">
        <f>10147+7480+16530</f>
        <v>34157</v>
      </c>
      <c r="E78" s="34">
        <f>1870+8569.99+8228+18810</f>
        <v>37477.99</v>
      </c>
      <c r="G78" s="34">
        <f>3038.75+15801.5+14679.5+18925.49+2337.5</f>
        <v>54782.740000000005</v>
      </c>
      <c r="I78" s="34">
        <f>5069.5+3325</f>
        <v>8394.5</v>
      </c>
      <c r="K78" s="60">
        <f>19391.13+23281.5+29452.5</f>
        <v>72125.13</v>
      </c>
      <c r="M78" s="11">
        <f>SUM(C78+E78+G78+I78+K78)</f>
        <v>206937.36</v>
      </c>
    </row>
    <row r="79" spans="1:13" ht="15.75" x14ac:dyDescent="0.3">
      <c r="A79" s="128" t="s">
        <v>69</v>
      </c>
      <c r="B79" s="9"/>
      <c r="C79" s="1">
        <f>1400+1776.5+6030.75</f>
        <v>9207.25</v>
      </c>
      <c r="E79" s="34">
        <f>5240.94+1542.75+2807.02+6451.5+3038.75+981.75+1187.5</f>
        <v>21250.21</v>
      </c>
      <c r="G79" s="34">
        <f>1447.95+4095.28</f>
        <v>5543.2300000000005</v>
      </c>
      <c r="I79" s="34">
        <f>137.9+1418.55+3440.47+4385.15+7012.5+1080.8</f>
        <v>17475.37</v>
      </c>
      <c r="K79" s="60">
        <f>5236+1702.75+1958.95</f>
        <v>8897.7000000000007</v>
      </c>
      <c r="M79" s="11">
        <f t="shared" ref="M79:M82" si="4">SUM(C79+E79+G79+I79+K79)</f>
        <v>62373.759999999995</v>
      </c>
    </row>
    <row r="80" spans="1:13" ht="15.75" x14ac:dyDescent="0.3">
      <c r="A80" s="128" t="s">
        <v>150</v>
      </c>
      <c r="B80" s="9"/>
      <c r="C80" s="1">
        <v>0</v>
      </c>
      <c r="E80" s="34">
        <f>14292.68+7300.13+5385.6</f>
        <v>26978.410000000003</v>
      </c>
      <c r="G80" s="34">
        <v>0</v>
      </c>
      <c r="I80" s="34">
        <f>7635.37+18797.04</f>
        <v>26432.41</v>
      </c>
      <c r="K80" s="60">
        <v>0</v>
      </c>
      <c r="M80" s="11">
        <f t="shared" si="4"/>
        <v>53410.820000000007</v>
      </c>
    </row>
    <row r="81" spans="1:16" ht="15.75" x14ac:dyDescent="0.3">
      <c r="A81" s="128" t="s">
        <v>70</v>
      </c>
      <c r="B81" s="9"/>
      <c r="C81" s="1">
        <v>0</v>
      </c>
      <c r="E81" s="34">
        <v>0</v>
      </c>
      <c r="G81" s="34">
        <v>0</v>
      </c>
      <c r="I81" s="34">
        <v>0</v>
      </c>
      <c r="K81" s="60">
        <v>0</v>
      </c>
      <c r="M81" s="11">
        <f t="shared" si="4"/>
        <v>0</v>
      </c>
    </row>
    <row r="82" spans="1:16" ht="15.75" x14ac:dyDescent="0.3">
      <c r="A82" s="128" t="s">
        <v>71</v>
      </c>
      <c r="B82" s="9"/>
      <c r="C82" s="1">
        <v>0</v>
      </c>
      <c r="E82" s="34">
        <v>0</v>
      </c>
      <c r="G82" s="34">
        <v>0</v>
      </c>
      <c r="I82" s="34">
        <v>0</v>
      </c>
      <c r="K82" s="60">
        <v>0</v>
      </c>
      <c r="M82" s="11">
        <f t="shared" si="4"/>
        <v>0</v>
      </c>
    </row>
    <row r="83" spans="1:16" ht="15.75" x14ac:dyDescent="0.3">
      <c r="A83" s="134" t="s">
        <v>32</v>
      </c>
      <c r="B83" s="32"/>
      <c r="C83" s="81">
        <f>SUM(C78:C82)</f>
        <v>43364.25</v>
      </c>
      <c r="D83" s="32"/>
      <c r="E83" s="81">
        <f>SUM(E78:E82)</f>
        <v>85706.61</v>
      </c>
      <c r="F83" s="32"/>
      <c r="G83" s="81">
        <f>SUM(G78:G82)</f>
        <v>60325.970000000008</v>
      </c>
      <c r="H83" s="32"/>
      <c r="I83" s="81">
        <f>SUM(I78:I82)</f>
        <v>52302.28</v>
      </c>
      <c r="J83" s="32"/>
      <c r="K83" s="81">
        <f>SUM(K78:K82)</f>
        <v>81022.83</v>
      </c>
      <c r="L83" s="32"/>
      <c r="M83" s="79">
        <f>SUM(C83+E83+G83+I83+K83)</f>
        <v>322721.94</v>
      </c>
    </row>
    <row r="84" spans="1:16" ht="15.75" x14ac:dyDescent="0.3">
      <c r="A84" s="135" t="s">
        <v>113</v>
      </c>
      <c r="B84" s="9"/>
      <c r="C84" s="1"/>
      <c r="E84" s="34"/>
      <c r="G84" s="34"/>
      <c r="I84" s="34"/>
      <c r="K84" s="60"/>
      <c r="M84" s="76"/>
    </row>
    <row r="85" spans="1:16" ht="15.75" x14ac:dyDescent="0.3">
      <c r="A85" s="128" t="s">
        <v>114</v>
      </c>
      <c r="B85" s="9"/>
      <c r="C85" s="1">
        <v>0</v>
      </c>
      <c r="E85" s="34">
        <f>507.35</f>
        <v>507.35</v>
      </c>
      <c r="G85" s="34">
        <v>0</v>
      </c>
      <c r="I85" s="34">
        <f>523.8</f>
        <v>523.79999999999995</v>
      </c>
      <c r="K85" s="60">
        <v>0</v>
      </c>
      <c r="M85" s="11">
        <f>SUM(C85+E85+G85+I85+K85)</f>
        <v>1031.1500000000001</v>
      </c>
    </row>
    <row r="86" spans="1:16" ht="15.75" x14ac:dyDescent="0.3">
      <c r="A86" s="128" t="s">
        <v>116</v>
      </c>
      <c r="B86" s="9"/>
      <c r="C86" s="1">
        <v>0</v>
      </c>
      <c r="E86" s="34">
        <v>0</v>
      </c>
      <c r="G86" s="34">
        <f>1715</f>
        <v>1715</v>
      </c>
      <c r="I86" s="34">
        <f>3430</f>
        <v>3430</v>
      </c>
      <c r="K86" s="60">
        <v>0</v>
      </c>
      <c r="M86" s="11">
        <f t="shared" ref="M86:M89" si="5">SUM(C86+E86+G86+I86+K86)</f>
        <v>5145</v>
      </c>
    </row>
    <row r="87" spans="1:16" ht="15.75" x14ac:dyDescent="0.3">
      <c r="A87" s="128" t="s">
        <v>117</v>
      </c>
      <c r="B87" s="9"/>
      <c r="C87" s="1">
        <v>0</v>
      </c>
      <c r="E87" s="34">
        <v>0</v>
      </c>
      <c r="G87" s="34">
        <f>1701.17</f>
        <v>1701.17</v>
      </c>
      <c r="I87" s="34">
        <f>3402.34</f>
        <v>3402.34</v>
      </c>
      <c r="K87" s="60">
        <v>0</v>
      </c>
      <c r="M87" s="11">
        <f t="shared" si="5"/>
        <v>5103.51</v>
      </c>
    </row>
    <row r="88" spans="1:16" ht="15.75" x14ac:dyDescent="0.3">
      <c r="A88" s="128" t="s">
        <v>115</v>
      </c>
      <c r="B88" s="9"/>
      <c r="C88" s="1">
        <f>1079.4+350</f>
        <v>1429.4</v>
      </c>
      <c r="E88" s="34">
        <f>150+350</f>
        <v>500</v>
      </c>
      <c r="G88" s="34">
        <f>515</f>
        <v>515</v>
      </c>
      <c r="I88" s="34">
        <f>350+330</f>
        <v>680</v>
      </c>
      <c r="K88" s="60">
        <f>180+350</f>
        <v>530</v>
      </c>
      <c r="M88" s="11">
        <f t="shared" si="5"/>
        <v>3654.4</v>
      </c>
    </row>
    <row r="89" spans="1:16" ht="15.75" x14ac:dyDescent="0.3">
      <c r="A89" s="128" t="s">
        <v>197</v>
      </c>
      <c r="B89" s="9"/>
      <c r="C89" s="1">
        <v>0</v>
      </c>
      <c r="E89" s="34">
        <f>700</f>
        <v>700</v>
      </c>
      <c r="G89" s="34">
        <v>0</v>
      </c>
      <c r="I89" s="34">
        <v>0</v>
      </c>
      <c r="K89" s="60">
        <v>0</v>
      </c>
      <c r="M89" s="11">
        <f t="shared" si="5"/>
        <v>700</v>
      </c>
    </row>
    <row r="90" spans="1:16" ht="15.75" x14ac:dyDescent="0.3">
      <c r="A90" s="134" t="s">
        <v>32</v>
      </c>
      <c r="B90" s="32"/>
      <c r="C90" s="81">
        <f>SUM(C85:C89)</f>
        <v>1429.4</v>
      </c>
      <c r="D90" s="32"/>
      <c r="E90" s="81">
        <f>SUM(E85:E89)</f>
        <v>1707.35</v>
      </c>
      <c r="F90" s="32"/>
      <c r="G90" s="81">
        <f>SUM(G85:G89)</f>
        <v>3931.17</v>
      </c>
      <c r="H90" s="32"/>
      <c r="I90" s="81">
        <f>SUM(I85:I89)</f>
        <v>8036.14</v>
      </c>
      <c r="J90" s="32"/>
      <c r="K90" s="81">
        <f>SUM(K85:K89)</f>
        <v>530</v>
      </c>
      <c r="L90" s="32"/>
      <c r="M90" s="79">
        <f>SUM(C90+E90+G90+I90+K90)</f>
        <v>15634.060000000001</v>
      </c>
    </row>
    <row r="91" spans="1:16" ht="15.75" x14ac:dyDescent="0.3">
      <c r="A91" s="127" t="s">
        <v>88</v>
      </c>
      <c r="B91" s="9"/>
      <c r="C91" s="1"/>
      <c r="E91" s="34"/>
      <c r="G91" s="34"/>
      <c r="I91" s="34"/>
      <c r="K91" s="60"/>
      <c r="M91" s="76"/>
    </row>
    <row r="92" spans="1:16" ht="15.75" x14ac:dyDescent="0.3">
      <c r="A92" s="128" t="s">
        <v>82</v>
      </c>
      <c r="B92" s="9"/>
      <c r="C92" s="1">
        <f>676.38</f>
        <v>676.38</v>
      </c>
      <c r="E92" s="34">
        <f>729.74+44</f>
        <v>773.74</v>
      </c>
      <c r="G92" s="34">
        <f>869.81</f>
        <v>869.81</v>
      </c>
      <c r="I92" s="34">
        <f>623.02</f>
        <v>623.02</v>
      </c>
      <c r="K92" s="60">
        <f>839.79</f>
        <v>839.79</v>
      </c>
      <c r="M92" s="11">
        <f>SUM(C92+E92+G92+I92+K92)</f>
        <v>3782.74</v>
      </c>
      <c r="N92">
        <v>1643.55</v>
      </c>
      <c r="O92">
        <v>1462.81</v>
      </c>
      <c r="P92">
        <f>SUM(N92-O92)</f>
        <v>180.74</v>
      </c>
    </row>
    <row r="93" spans="1:16" ht="15.75" x14ac:dyDescent="0.3">
      <c r="A93" s="128" t="s">
        <v>1</v>
      </c>
      <c r="B93" s="9"/>
      <c r="C93" s="1">
        <f>3489.48</f>
        <v>3489.48</v>
      </c>
      <c r="E93" s="34">
        <f>5471.93+253.24+211.2+3595.82+4182.33</f>
        <v>13714.52</v>
      </c>
      <c r="G93" s="34">
        <f>4857.83</f>
        <v>4857.83</v>
      </c>
      <c r="I93" s="34">
        <f>276.7+202.9+180.38+4675.84</f>
        <v>5335.82</v>
      </c>
      <c r="K93" s="60">
        <v>4778.96</v>
      </c>
      <c r="M93" s="11">
        <f t="shared" ref="M93:M125" si="6">SUM(C93+E93+G93+I93+K93)</f>
        <v>32176.61</v>
      </c>
      <c r="N93" s="158">
        <v>9040.16</v>
      </c>
      <c r="O93" s="158">
        <v>9454.7999999999993</v>
      </c>
      <c r="P93">
        <f>SUM(N93-O93)</f>
        <v>-414.63999999999942</v>
      </c>
    </row>
    <row r="94" spans="1:16" ht="15.75" x14ac:dyDescent="0.3">
      <c r="A94" s="128" t="s">
        <v>81</v>
      </c>
      <c r="B94" s="9"/>
      <c r="C94" s="1">
        <v>0</v>
      </c>
      <c r="E94" s="34">
        <f>150.03+70.01+89.94+599.93+249.96+50</f>
        <v>1209.8699999999999</v>
      </c>
      <c r="G94" s="34">
        <f>69.98+169.95+150.09</f>
        <v>390.02</v>
      </c>
      <c r="I94" s="34">
        <f>782.92+109.94+1012.88</f>
        <v>1905.7399999999998</v>
      </c>
      <c r="K94" s="60">
        <v>0</v>
      </c>
      <c r="M94" s="11">
        <f t="shared" si="6"/>
        <v>3505.6299999999997</v>
      </c>
      <c r="P94">
        <f t="shared" ref="P94:P95" si="7">SUM(N94-O94)</f>
        <v>0</v>
      </c>
    </row>
    <row r="95" spans="1:16" ht="15.75" x14ac:dyDescent="0.3">
      <c r="A95" s="128" t="s">
        <v>89</v>
      </c>
      <c r="B95" s="9"/>
      <c r="C95" s="1">
        <f>846.84+442.86</f>
        <v>1289.7</v>
      </c>
      <c r="E95" s="34">
        <f>59.8+390.94+1158.42</f>
        <v>1609.16</v>
      </c>
      <c r="G95" s="34">
        <f>1548.83+377.36</f>
        <v>1926.19</v>
      </c>
      <c r="I95" s="34">
        <f>391.63+990.2</f>
        <v>1381.83</v>
      </c>
      <c r="K95" s="60">
        <f>874.32+498.28+1010.21+412.71</f>
        <v>2795.52</v>
      </c>
      <c r="M95" s="11">
        <f t="shared" si="6"/>
        <v>9002.4</v>
      </c>
      <c r="N95" s="158">
        <f>SUM(E95+G95)</f>
        <v>3535.3500000000004</v>
      </c>
      <c r="O95">
        <v>2779.59</v>
      </c>
      <c r="P95">
        <f t="shared" si="7"/>
        <v>755.76000000000022</v>
      </c>
    </row>
    <row r="96" spans="1:16" ht="15.75" x14ac:dyDescent="0.3">
      <c r="A96" s="128" t="s">
        <v>90</v>
      </c>
      <c r="B96" s="9"/>
      <c r="C96" s="1">
        <f>75+140.5+3.2+19.4+7.7</f>
        <v>245.79999999999998</v>
      </c>
      <c r="E96" s="34">
        <f>60.95+44.5+8.2+7.65</f>
        <v>121.30000000000001</v>
      </c>
      <c r="G96" s="34">
        <f>8.2</f>
        <v>8.1999999999999993</v>
      </c>
      <c r="I96" s="34">
        <f>19.81</f>
        <v>19.809999999999999</v>
      </c>
      <c r="K96" s="60">
        <v>0</v>
      </c>
      <c r="M96" s="11">
        <f t="shared" si="6"/>
        <v>395.11</v>
      </c>
    </row>
    <row r="97" spans="1:13" ht="15.75" x14ac:dyDescent="0.3">
      <c r="A97" s="128" t="s">
        <v>91</v>
      </c>
      <c r="B97" s="9"/>
      <c r="C97" s="1">
        <v>0</v>
      </c>
      <c r="E97" s="34">
        <f>618.9</f>
        <v>618.9</v>
      </c>
      <c r="G97" s="34">
        <f>1250.8</f>
        <v>1250.8</v>
      </c>
      <c r="I97" s="34">
        <f>904.67</f>
        <v>904.67</v>
      </c>
      <c r="K97" s="60">
        <v>0</v>
      </c>
      <c r="M97" s="11">
        <f t="shared" si="6"/>
        <v>2774.37</v>
      </c>
    </row>
    <row r="98" spans="1:13" ht="15.75" x14ac:dyDescent="0.3">
      <c r="A98" s="128" t="s">
        <v>92</v>
      </c>
      <c r="B98" s="9"/>
      <c r="C98" s="1">
        <v>0</v>
      </c>
      <c r="E98" s="34">
        <f>4277.25</f>
        <v>4277.25</v>
      </c>
      <c r="G98" s="34">
        <f>933.22</f>
        <v>933.22</v>
      </c>
      <c r="I98" s="34">
        <f>1866.44</f>
        <v>1866.44</v>
      </c>
      <c r="K98" s="60">
        <v>0</v>
      </c>
      <c r="M98" s="11">
        <f t="shared" si="6"/>
        <v>7076.91</v>
      </c>
    </row>
    <row r="99" spans="1:13" ht="15.75" x14ac:dyDescent="0.3">
      <c r="A99" s="128" t="s">
        <v>93</v>
      </c>
      <c r="B99" s="9"/>
      <c r="C99" s="1">
        <v>0</v>
      </c>
      <c r="E99" s="34">
        <v>0</v>
      </c>
      <c r="G99" s="34">
        <v>0</v>
      </c>
      <c r="I99" s="34">
        <v>0</v>
      </c>
      <c r="K99" s="60">
        <v>0</v>
      </c>
      <c r="M99" s="11">
        <f t="shared" si="6"/>
        <v>0</v>
      </c>
    </row>
    <row r="100" spans="1:13" ht="16.5" x14ac:dyDescent="0.3">
      <c r="A100" s="106" t="s">
        <v>201</v>
      </c>
      <c r="B100" s="9"/>
      <c r="C100" s="1">
        <f>40+50</f>
        <v>90</v>
      </c>
      <c r="E100" s="34">
        <v>0</v>
      </c>
      <c r="G100" s="34">
        <v>0</v>
      </c>
      <c r="I100" s="34">
        <f>40+40+40</f>
        <v>120</v>
      </c>
      <c r="K100" s="60">
        <v>0</v>
      </c>
      <c r="M100" s="11">
        <f t="shared" si="6"/>
        <v>210</v>
      </c>
    </row>
    <row r="101" spans="1:13" ht="15.75" x14ac:dyDescent="0.3">
      <c r="A101" s="128" t="s">
        <v>94</v>
      </c>
      <c r="B101" s="9"/>
      <c r="C101" s="1">
        <v>0</v>
      </c>
      <c r="E101" s="34">
        <f>30+91.6+1909.2</f>
        <v>2030.8</v>
      </c>
      <c r="G101" s="34">
        <v>0</v>
      </c>
      <c r="I101" s="34">
        <f>313.65</f>
        <v>313.64999999999998</v>
      </c>
      <c r="K101" s="60">
        <v>0</v>
      </c>
      <c r="M101" s="11">
        <f t="shared" si="6"/>
        <v>2344.4499999999998</v>
      </c>
    </row>
    <row r="102" spans="1:13" ht="15.75" x14ac:dyDescent="0.3">
      <c r="A102" s="128" t="s">
        <v>95</v>
      </c>
      <c r="B102" s="9"/>
      <c r="C102" s="1">
        <v>0</v>
      </c>
      <c r="E102" s="34">
        <f>1739.5+990</f>
        <v>2729.5</v>
      </c>
      <c r="G102" s="34">
        <f>150+330</f>
        <v>480</v>
      </c>
      <c r="I102" s="34">
        <v>0</v>
      </c>
      <c r="K102" s="60">
        <v>0</v>
      </c>
      <c r="M102" s="11">
        <f t="shared" si="6"/>
        <v>3209.5</v>
      </c>
    </row>
    <row r="103" spans="1:13" ht="15.75" x14ac:dyDescent="0.3">
      <c r="A103" s="128" t="s">
        <v>96</v>
      </c>
      <c r="B103" s="9"/>
      <c r="C103" s="1">
        <v>0</v>
      </c>
      <c r="E103" s="34"/>
      <c r="G103" s="34">
        <v>0</v>
      </c>
      <c r="I103" s="34">
        <v>0</v>
      </c>
      <c r="K103" s="60">
        <v>0</v>
      </c>
      <c r="M103" s="11">
        <f t="shared" si="6"/>
        <v>0</v>
      </c>
    </row>
    <row r="104" spans="1:13" ht="15.75" x14ac:dyDescent="0.3">
      <c r="A104" s="128" t="s">
        <v>97</v>
      </c>
      <c r="B104" s="9"/>
      <c r="C104" s="1">
        <v>0</v>
      </c>
      <c r="E104" s="34">
        <f>16+42.5+14.9+14.9+26.19</f>
        <v>114.49000000000001</v>
      </c>
      <c r="G104" s="34">
        <f>89</f>
        <v>89</v>
      </c>
      <c r="I104" s="34">
        <f>83</f>
        <v>83</v>
      </c>
      <c r="K104" s="60">
        <v>0</v>
      </c>
      <c r="M104" s="11">
        <f t="shared" si="6"/>
        <v>286.49</v>
      </c>
    </row>
    <row r="105" spans="1:13" ht="15.75" x14ac:dyDescent="0.3">
      <c r="A105" s="128" t="s">
        <v>98</v>
      </c>
      <c r="B105" s="9"/>
      <c r="C105" s="1">
        <v>0</v>
      </c>
      <c r="E105" s="34">
        <f>2916.7</f>
        <v>2916.7</v>
      </c>
      <c r="G105" s="34">
        <f>603</f>
        <v>603</v>
      </c>
      <c r="I105" s="34">
        <f>120+1276.44</f>
        <v>1396.44</v>
      </c>
      <c r="K105" s="60">
        <v>0</v>
      </c>
      <c r="M105" s="11">
        <f t="shared" si="6"/>
        <v>4916.1399999999994</v>
      </c>
    </row>
    <row r="106" spans="1:13" ht="15.75" x14ac:dyDescent="0.3">
      <c r="A106" s="128" t="s">
        <v>99</v>
      </c>
      <c r="B106" s="9"/>
      <c r="C106" s="1">
        <v>0</v>
      </c>
      <c r="E106" s="34">
        <v>0</v>
      </c>
      <c r="G106" s="34">
        <v>0</v>
      </c>
      <c r="I106" s="34">
        <v>0</v>
      </c>
      <c r="K106" s="60">
        <v>0</v>
      </c>
      <c r="M106" s="11">
        <f t="shared" si="6"/>
        <v>0</v>
      </c>
    </row>
    <row r="107" spans="1:13" ht="15.75" x14ac:dyDescent="0.3">
      <c r="A107" s="128" t="s">
        <v>183</v>
      </c>
      <c r="B107" s="9"/>
      <c r="C107" s="1">
        <v>0</v>
      </c>
      <c r="E107" s="34">
        <v>0</v>
      </c>
      <c r="G107" s="34">
        <f>2511.29</f>
        <v>2511.29</v>
      </c>
      <c r="I107" s="34">
        <f>1607.25</f>
        <v>1607.25</v>
      </c>
      <c r="K107" s="60">
        <v>0</v>
      </c>
      <c r="M107" s="11">
        <f t="shared" si="6"/>
        <v>4118.54</v>
      </c>
    </row>
    <row r="108" spans="1:13" ht="16.5" x14ac:dyDescent="0.3">
      <c r="A108" s="106" t="s">
        <v>196</v>
      </c>
      <c r="B108" s="9"/>
      <c r="C108" s="1">
        <v>0</v>
      </c>
      <c r="E108" s="34">
        <f>2191.14</f>
        <v>2191.14</v>
      </c>
      <c r="G108" s="34">
        <f>378.98</f>
        <v>378.98</v>
      </c>
      <c r="I108" s="34">
        <f>971.67</f>
        <v>971.67</v>
      </c>
      <c r="K108" s="60">
        <v>0</v>
      </c>
      <c r="M108" s="11">
        <f t="shared" si="6"/>
        <v>3541.79</v>
      </c>
    </row>
    <row r="109" spans="1:13" ht="15.75" x14ac:dyDescent="0.3">
      <c r="A109" s="128" t="s">
        <v>100</v>
      </c>
      <c r="B109" s="9"/>
      <c r="C109" s="1">
        <f>773+240+621.3</f>
        <v>1634.3</v>
      </c>
      <c r="E109" s="34">
        <f>132.57</f>
        <v>132.57</v>
      </c>
      <c r="G109" s="34">
        <v>0</v>
      </c>
      <c r="I109" s="34">
        <f>66.7</f>
        <v>66.7</v>
      </c>
      <c r="K109" s="60">
        <f>409</f>
        <v>409</v>
      </c>
      <c r="M109" s="11">
        <f t="shared" si="6"/>
        <v>2242.5699999999997</v>
      </c>
    </row>
    <row r="110" spans="1:13" ht="15.75" x14ac:dyDescent="0.3">
      <c r="A110" s="128" t="s">
        <v>101</v>
      </c>
      <c r="B110" s="9"/>
      <c r="C110" s="1">
        <f>600</f>
        <v>600</v>
      </c>
      <c r="E110" s="34">
        <f>621+600</f>
        <v>1221</v>
      </c>
      <c r="G110" s="34">
        <f>1221</f>
        <v>1221</v>
      </c>
      <c r="I110" s="34">
        <f>621</f>
        <v>621</v>
      </c>
      <c r="K110" s="60">
        <f>621</f>
        <v>621</v>
      </c>
      <c r="M110" s="11">
        <f t="shared" si="6"/>
        <v>4284</v>
      </c>
    </row>
    <row r="111" spans="1:13" ht="15.75" x14ac:dyDescent="0.3">
      <c r="A111" s="128" t="s">
        <v>102</v>
      </c>
      <c r="B111" s="9"/>
      <c r="C111" s="1">
        <v>0</v>
      </c>
      <c r="E111" s="34">
        <v>0</v>
      </c>
      <c r="G111" s="34">
        <v>0</v>
      </c>
      <c r="I111" s="34">
        <v>0</v>
      </c>
      <c r="K111" s="60">
        <v>0</v>
      </c>
      <c r="M111" s="11">
        <f t="shared" si="6"/>
        <v>0</v>
      </c>
    </row>
    <row r="112" spans="1:13" ht="15.75" x14ac:dyDescent="0.3">
      <c r="A112" s="128" t="s">
        <v>103</v>
      </c>
      <c r="B112" s="9"/>
      <c r="C112" s="1">
        <v>0</v>
      </c>
      <c r="E112" s="34">
        <v>0</v>
      </c>
      <c r="G112" s="34">
        <v>0</v>
      </c>
      <c r="I112" s="34">
        <f>1178.32</f>
        <v>1178.32</v>
      </c>
      <c r="K112" s="60">
        <f>1150+30.6</f>
        <v>1180.5999999999999</v>
      </c>
      <c r="M112" s="11">
        <f t="shared" si="6"/>
        <v>2358.92</v>
      </c>
    </row>
    <row r="113" spans="1:15" ht="15.75" x14ac:dyDescent="0.3">
      <c r="A113" s="128" t="s">
        <v>182</v>
      </c>
      <c r="B113" s="9"/>
      <c r="C113" s="1">
        <f>625+460</f>
        <v>1085</v>
      </c>
      <c r="E113" s="34">
        <f>458.5+625</f>
        <v>1083.5</v>
      </c>
      <c r="G113" s="34">
        <f>458.5+625</f>
        <v>1083.5</v>
      </c>
      <c r="I113" s="34">
        <f>458.5+625</f>
        <v>1083.5</v>
      </c>
      <c r="K113" s="60">
        <v>0</v>
      </c>
      <c r="M113" s="11">
        <f t="shared" si="6"/>
        <v>4335.5</v>
      </c>
    </row>
    <row r="114" spans="1:15" ht="15.75" x14ac:dyDescent="0.3">
      <c r="A114" s="128" t="s">
        <v>104</v>
      </c>
      <c r="B114" s="9"/>
      <c r="C114" s="1">
        <v>0</v>
      </c>
      <c r="E114" s="34">
        <v>0</v>
      </c>
      <c r="G114" s="34">
        <v>0</v>
      </c>
      <c r="I114" s="34">
        <v>0</v>
      </c>
      <c r="K114" s="60">
        <v>0</v>
      </c>
      <c r="M114" s="11">
        <f t="shared" si="6"/>
        <v>0</v>
      </c>
    </row>
    <row r="115" spans="1:15" ht="15.75" x14ac:dyDescent="0.3">
      <c r="A115" s="128" t="s">
        <v>105</v>
      </c>
      <c r="B115" s="9"/>
      <c r="C115" s="1">
        <v>0</v>
      </c>
      <c r="E115" s="34">
        <v>0</v>
      </c>
      <c r="G115" s="34">
        <v>0</v>
      </c>
      <c r="I115" s="34">
        <v>0</v>
      </c>
      <c r="K115" s="60">
        <f>330</f>
        <v>330</v>
      </c>
      <c r="M115" s="11">
        <f t="shared" si="6"/>
        <v>330</v>
      </c>
    </row>
    <row r="116" spans="1:15" ht="15.75" x14ac:dyDescent="0.3">
      <c r="A116" s="128" t="s">
        <v>83</v>
      </c>
      <c r="B116" s="9"/>
      <c r="C116" s="1">
        <v>0</v>
      </c>
      <c r="E116" s="34">
        <v>0</v>
      </c>
      <c r="G116" s="34">
        <v>0</v>
      </c>
      <c r="I116" s="34">
        <v>0</v>
      </c>
      <c r="K116" s="60">
        <v>0</v>
      </c>
      <c r="M116" s="11">
        <f t="shared" si="6"/>
        <v>0</v>
      </c>
    </row>
    <row r="117" spans="1:15" ht="15.75" x14ac:dyDescent="0.3">
      <c r="A117" s="130" t="s">
        <v>67</v>
      </c>
      <c r="B117" s="9"/>
      <c r="C117" s="1">
        <v>0</v>
      </c>
      <c r="E117" s="34">
        <f>924</f>
        <v>924</v>
      </c>
      <c r="G117" s="34">
        <v>0</v>
      </c>
      <c r="I117" s="34">
        <v>0</v>
      </c>
      <c r="K117" s="60">
        <v>0</v>
      </c>
      <c r="M117" s="11">
        <f t="shared" si="6"/>
        <v>924</v>
      </c>
    </row>
    <row r="118" spans="1:15" ht="15.75" x14ac:dyDescent="0.3">
      <c r="A118" s="128" t="s">
        <v>61</v>
      </c>
      <c r="B118" s="9"/>
      <c r="C118" s="1">
        <v>0</v>
      </c>
      <c r="E118" s="34">
        <v>0</v>
      </c>
      <c r="G118" s="34">
        <v>0</v>
      </c>
      <c r="I118" s="34">
        <v>0</v>
      </c>
      <c r="K118" s="60">
        <v>0</v>
      </c>
      <c r="M118" s="11">
        <f t="shared" si="6"/>
        <v>0</v>
      </c>
    </row>
    <row r="119" spans="1:15" ht="15.75" x14ac:dyDescent="0.3">
      <c r="A119" s="130" t="s">
        <v>72</v>
      </c>
      <c r="B119" s="9"/>
      <c r="C119" s="1">
        <v>0</v>
      </c>
      <c r="E119" s="34">
        <v>0</v>
      </c>
      <c r="G119" s="34">
        <v>0</v>
      </c>
      <c r="I119" s="34">
        <v>0</v>
      </c>
      <c r="K119" s="60">
        <v>0</v>
      </c>
      <c r="M119" s="11">
        <f t="shared" si="6"/>
        <v>0</v>
      </c>
    </row>
    <row r="120" spans="1:15" ht="15.75" x14ac:dyDescent="0.3">
      <c r="A120" s="128" t="s">
        <v>73</v>
      </c>
      <c r="B120" s="9"/>
      <c r="C120" s="1">
        <v>0</v>
      </c>
      <c r="E120" s="34">
        <v>0</v>
      </c>
      <c r="G120" s="34">
        <v>0</v>
      </c>
      <c r="I120" s="34">
        <v>0</v>
      </c>
      <c r="K120" s="60">
        <v>0</v>
      </c>
      <c r="M120" s="11">
        <f t="shared" si="6"/>
        <v>0</v>
      </c>
    </row>
    <row r="121" spans="1:15" ht="15.75" x14ac:dyDescent="0.3">
      <c r="A121" s="128" t="s">
        <v>74</v>
      </c>
      <c r="B121" s="9"/>
      <c r="C121" s="1">
        <v>0</v>
      </c>
      <c r="E121" s="34">
        <v>0</v>
      </c>
      <c r="G121" s="34">
        <v>0</v>
      </c>
      <c r="I121" s="34">
        <v>0</v>
      </c>
      <c r="K121" s="60">
        <v>0</v>
      </c>
      <c r="M121" s="11">
        <f t="shared" si="6"/>
        <v>0</v>
      </c>
    </row>
    <row r="122" spans="1:15" ht="15.75" x14ac:dyDescent="0.3">
      <c r="A122" s="130" t="s">
        <v>75</v>
      </c>
      <c r="B122" s="9"/>
      <c r="C122" s="1">
        <v>0</v>
      </c>
      <c r="E122" s="34">
        <v>0</v>
      </c>
      <c r="G122" s="34">
        <v>0</v>
      </c>
      <c r="I122" s="34">
        <v>0</v>
      </c>
      <c r="K122" s="60">
        <v>0</v>
      </c>
      <c r="M122" s="11">
        <f t="shared" si="6"/>
        <v>0</v>
      </c>
    </row>
    <row r="123" spans="1:15" ht="15.75" x14ac:dyDescent="0.3">
      <c r="A123" s="130" t="s">
        <v>119</v>
      </c>
      <c r="B123" s="9"/>
      <c r="C123" s="1">
        <v>0</v>
      </c>
      <c r="E123" s="34">
        <f>4515.32</f>
        <v>4515.32</v>
      </c>
      <c r="G123" s="34">
        <v>0</v>
      </c>
      <c r="I123" s="34">
        <v>0</v>
      </c>
      <c r="K123" s="60">
        <f>1969.94+9989.64</f>
        <v>11959.58</v>
      </c>
      <c r="M123" s="11">
        <f t="shared" si="6"/>
        <v>16474.900000000001</v>
      </c>
    </row>
    <row r="124" spans="1:15" ht="15.75" x14ac:dyDescent="0.3">
      <c r="A124" s="130" t="s">
        <v>195</v>
      </c>
      <c r="B124" s="9"/>
      <c r="C124" s="1">
        <v>0</v>
      </c>
      <c r="E124" s="34">
        <f>1727.95</f>
        <v>1727.95</v>
      </c>
      <c r="G124" s="34">
        <f>1176.43</f>
        <v>1176.43</v>
      </c>
      <c r="I124" s="34">
        <f>1249.61</f>
        <v>1249.6099999999999</v>
      </c>
      <c r="K124" s="60">
        <f>1246.7</f>
        <v>1246.7</v>
      </c>
      <c r="M124" s="11">
        <f t="shared" si="6"/>
        <v>5400.69</v>
      </c>
    </row>
    <row r="125" spans="1:15" ht="15.75" x14ac:dyDescent="0.3">
      <c r="A125" s="128" t="s">
        <v>63</v>
      </c>
      <c r="B125" s="9"/>
      <c r="C125" s="1">
        <f>368.32+366.76+258.54+668.43+504.73+311.87+1000.25+153.69</f>
        <v>3632.5899999999997</v>
      </c>
      <c r="E125" s="34">
        <f>362.15+362.15+368.32+366.76+258.54+504.73+1000.25</f>
        <v>3222.8999999999996</v>
      </c>
      <c r="G125" s="34">
        <f>1000.25+366.76+258.54+668.43+635.01+362.15+153.69</f>
        <v>3444.83</v>
      </c>
      <c r="I125" s="34">
        <f>368.32+362.15+153.69+504.73+701.85</f>
        <v>2090.7400000000002</v>
      </c>
      <c r="K125" s="60">
        <f>668.43+311.87+362.15+1000.25+1000.25</f>
        <v>3342.95</v>
      </c>
      <c r="M125" s="11">
        <f t="shared" si="6"/>
        <v>15734.009999999998</v>
      </c>
    </row>
    <row r="126" spans="1:15" ht="15.75" x14ac:dyDescent="0.3">
      <c r="A126" s="134" t="s">
        <v>32</v>
      </c>
      <c r="B126" s="32"/>
      <c r="C126" s="81">
        <f>SUM(C92:C125)</f>
        <v>12743.25</v>
      </c>
      <c r="D126" s="32"/>
      <c r="E126" s="81">
        <f>SUM(E92:E125)</f>
        <v>45134.61</v>
      </c>
      <c r="F126" s="32"/>
      <c r="G126" s="81">
        <f>SUM(G92:G125)</f>
        <v>21224.1</v>
      </c>
      <c r="H126" s="32"/>
      <c r="I126" s="81">
        <f>SUM(I92:I125)</f>
        <v>22819.210000000003</v>
      </c>
      <c r="J126" s="32"/>
      <c r="K126" s="81">
        <f>SUM(K92:K125)</f>
        <v>27504.100000000002</v>
      </c>
      <c r="L126" s="32"/>
      <c r="M126" s="79">
        <f>SUM(C126+E126+G126+I126+K126)</f>
        <v>129425.27</v>
      </c>
    </row>
    <row r="127" spans="1:15" ht="15.75" x14ac:dyDescent="0.3">
      <c r="A127" s="127" t="s">
        <v>76</v>
      </c>
      <c r="B127" s="9"/>
      <c r="C127" s="1"/>
      <c r="E127" s="34"/>
      <c r="G127" s="34"/>
      <c r="I127" s="34"/>
      <c r="K127" s="60"/>
      <c r="M127" s="76"/>
    </row>
    <row r="128" spans="1:15" ht="15.75" x14ac:dyDescent="0.3">
      <c r="A128" s="130" t="s">
        <v>123</v>
      </c>
      <c r="B128" s="9"/>
      <c r="C128" s="1">
        <v>0</v>
      </c>
      <c r="E128" s="34">
        <f>1594.59</f>
        <v>1594.59</v>
      </c>
      <c r="G128" s="34">
        <f>1205.67</f>
        <v>1205.67</v>
      </c>
      <c r="I128" s="34">
        <f>293.43</f>
        <v>293.43</v>
      </c>
      <c r="K128" s="60">
        <f>242.72</f>
        <v>242.72</v>
      </c>
      <c r="M128" s="11">
        <f>SUM(C128+E128+G128+I128+K128)</f>
        <v>3336.41</v>
      </c>
      <c r="N128">
        <v>11507.24</v>
      </c>
      <c r="O128">
        <v>9501.8700000000008</v>
      </c>
    </row>
    <row r="129" spans="1:15" ht="15.75" x14ac:dyDescent="0.3">
      <c r="A129" s="130" t="s">
        <v>124</v>
      </c>
      <c r="B129" s="9"/>
      <c r="C129" s="1">
        <v>0</v>
      </c>
      <c r="E129" s="34">
        <f>1413.35+336.74+140.48+268.91+5369.03+403.67+172.24+900.67+136.47+147.85+72.7+30.35+97.45+153.26</f>
        <v>9643.1700000000019</v>
      </c>
      <c r="G129" s="34">
        <f>173.81+1060.79+81.84+751.64+97.59+79.09+61.47+120.51+59.22+109.86+292.38+19.05+20.24+112.69+20.24+74.51+14.3</f>
        <v>3149.2300000000005</v>
      </c>
      <c r="I129" s="34">
        <f>932+219.38+138.85+752.88</f>
        <v>2043.1100000000001</v>
      </c>
      <c r="K129" s="60">
        <f>740+22.6+667.6+71.48+113.15+129.82+45.53+75.52+5.94+80.79+50.8+250.74+100.95+783.5+1386.92+185.97+305.66+762.6</f>
        <v>5779.5700000000006</v>
      </c>
      <c r="M129" s="11">
        <f t="shared" ref="M129:M132" si="8">SUM(C129+E129+G129+I129+K129)</f>
        <v>20615.080000000002</v>
      </c>
    </row>
    <row r="130" spans="1:15" ht="15.75" x14ac:dyDescent="0.3">
      <c r="A130" s="130" t="s">
        <v>128</v>
      </c>
      <c r="B130" s="9"/>
      <c r="C130" s="1">
        <f>354.26</f>
        <v>354.26</v>
      </c>
      <c r="E130" s="34">
        <v>0</v>
      </c>
      <c r="G130" s="34">
        <f>736.17</f>
        <v>736.17</v>
      </c>
      <c r="I130" s="34">
        <f>608.83</f>
        <v>608.83000000000004</v>
      </c>
      <c r="K130" s="60">
        <f>534.21</f>
        <v>534.21</v>
      </c>
      <c r="M130" s="11">
        <f t="shared" si="8"/>
        <v>2233.4699999999998</v>
      </c>
      <c r="O130">
        <f>SUM(N128-O128)</f>
        <v>2005.369999999999</v>
      </c>
    </row>
    <row r="131" spans="1:15" ht="15.75" x14ac:dyDescent="0.3">
      <c r="A131" s="130" t="s">
        <v>125</v>
      </c>
      <c r="B131" s="9"/>
      <c r="C131" s="1">
        <v>0</v>
      </c>
      <c r="E131" s="34">
        <f>46.68+22.9+21.06+4.95</f>
        <v>95.59</v>
      </c>
      <c r="G131" s="34">
        <f>4.95+24.75+4.95+34.39+13.67</f>
        <v>82.71</v>
      </c>
      <c r="I131" s="34">
        <v>0</v>
      </c>
      <c r="K131" s="60">
        <f>4.95+305.66</f>
        <v>310.61</v>
      </c>
      <c r="M131" s="11">
        <f t="shared" si="8"/>
        <v>488.91</v>
      </c>
      <c r="N131">
        <v>746.45</v>
      </c>
      <c r="O131">
        <v>601.71</v>
      </c>
    </row>
    <row r="132" spans="1:15" ht="15.75" x14ac:dyDescent="0.3">
      <c r="A132" s="130" t="s">
        <v>126</v>
      </c>
      <c r="B132" s="9"/>
      <c r="C132" s="1">
        <v>0</v>
      </c>
      <c r="E132" s="34">
        <f>5.73+69+91.98+116.73+161.2+10.12+2.43</f>
        <v>457.19</v>
      </c>
      <c r="G132" s="34">
        <f>103.27+7.69</f>
        <v>110.96</v>
      </c>
      <c r="I132" s="34">
        <f>17.7+15+4.5</f>
        <v>37.200000000000003</v>
      </c>
      <c r="K132" s="60">
        <f>97.79+24.31+131.8</f>
        <v>253.90000000000003</v>
      </c>
      <c r="M132" s="11">
        <f t="shared" si="8"/>
        <v>859.25</v>
      </c>
    </row>
    <row r="133" spans="1:15" ht="15.75" x14ac:dyDescent="0.3">
      <c r="A133" s="134" t="s">
        <v>32</v>
      </c>
      <c r="B133" s="32"/>
      <c r="C133" s="81">
        <f>SUM(C128:C132)</f>
        <v>354.26</v>
      </c>
      <c r="D133" s="32"/>
      <c r="E133" s="81">
        <f>SUM(E128:E132)</f>
        <v>11790.540000000003</v>
      </c>
      <c r="F133" s="32"/>
      <c r="G133" s="81">
        <f>SUM(G128:G132)</f>
        <v>5284.7400000000007</v>
      </c>
      <c r="H133" s="32"/>
      <c r="I133" s="81">
        <f>SUM(I128:I132)</f>
        <v>2982.5699999999997</v>
      </c>
      <c r="J133" s="32"/>
      <c r="K133" s="81">
        <f>SUM(K128:K132)</f>
        <v>7121.01</v>
      </c>
      <c r="L133" s="32"/>
      <c r="M133" s="79">
        <f>SUM(C133+E133+G133+I133+K133)</f>
        <v>27533.120000000003</v>
      </c>
      <c r="O133">
        <f>SUM(N131-O131)</f>
        <v>144.74</v>
      </c>
    </row>
    <row r="134" spans="1:15" ht="15.75" x14ac:dyDescent="0.3">
      <c r="A134" s="127" t="s">
        <v>152</v>
      </c>
      <c r="B134" s="9"/>
      <c r="C134" s="14"/>
      <c r="E134" s="69"/>
      <c r="G134" s="69"/>
      <c r="I134" s="69"/>
      <c r="K134" s="60"/>
      <c r="M134" s="76"/>
    </row>
    <row r="135" spans="1:15" ht="15.75" x14ac:dyDescent="0.3">
      <c r="A135" s="130" t="s">
        <v>140</v>
      </c>
      <c r="B135" s="9"/>
      <c r="C135" s="1">
        <f>1570.15+1384.78</f>
        <v>2954.9300000000003</v>
      </c>
      <c r="E135" s="34">
        <f>2074.74+539.82+145.56+162.16</f>
        <v>2922.2799999999997</v>
      </c>
      <c r="G135" s="34">
        <f>619.19+607.85+34.87+138.17+241.85</f>
        <v>1641.9299999999998</v>
      </c>
      <c r="I135" s="34">
        <f>613.54+25.58+17.72+39.92</f>
        <v>696.76</v>
      </c>
      <c r="K135" s="60">
        <f>296.76+159.31+165.6</f>
        <v>621.66999999999996</v>
      </c>
      <c r="M135" s="11">
        <f>SUM(C135+E135+G135+I135+K135)</f>
        <v>8837.57</v>
      </c>
      <c r="N135">
        <v>5059.95</v>
      </c>
      <c r="O135">
        <v>3032.8</v>
      </c>
    </row>
    <row r="136" spans="1:15" ht="15.75" x14ac:dyDescent="0.3">
      <c r="A136" s="130" t="s">
        <v>141</v>
      </c>
      <c r="B136" s="9"/>
      <c r="C136" s="1">
        <f>1440.39</f>
        <v>1440.39</v>
      </c>
      <c r="E136" s="34">
        <f>495.74</f>
        <v>495.74</v>
      </c>
      <c r="G136" s="34">
        <v>0</v>
      </c>
      <c r="I136" s="34">
        <f>144+1570.37</f>
        <v>1714.37</v>
      </c>
      <c r="K136" s="60">
        <v>0</v>
      </c>
      <c r="M136" s="11">
        <f t="shared" ref="M136:M137" si="9">SUM(C136+E136+G136+I136+K136)</f>
        <v>3650.5</v>
      </c>
    </row>
    <row r="137" spans="1:15" ht="15.75" x14ac:dyDescent="0.3">
      <c r="A137" s="130" t="s">
        <v>78</v>
      </c>
      <c r="B137" s="9"/>
      <c r="C137" s="1">
        <v>0</v>
      </c>
      <c r="E137" s="34">
        <v>0</v>
      </c>
      <c r="G137" s="34">
        <v>0</v>
      </c>
      <c r="I137" s="34">
        <v>0</v>
      </c>
      <c r="K137" s="60">
        <v>0</v>
      </c>
      <c r="M137" s="11">
        <f t="shared" si="9"/>
        <v>0</v>
      </c>
    </row>
    <row r="138" spans="1:15" ht="15.75" x14ac:dyDescent="0.3">
      <c r="A138" s="130"/>
      <c r="B138" s="32"/>
      <c r="C138" s="81">
        <f>SUM(C135:C137)</f>
        <v>4395.3200000000006</v>
      </c>
      <c r="D138" s="32"/>
      <c r="E138" s="81">
        <f>SUM(E135:E137)</f>
        <v>3418.0199999999995</v>
      </c>
      <c r="F138" s="32"/>
      <c r="G138" s="81">
        <f>SUM(G135:G137)</f>
        <v>1641.9299999999998</v>
      </c>
      <c r="H138" s="32"/>
      <c r="I138" s="81">
        <f>SUM(I135:I137)</f>
        <v>2411.13</v>
      </c>
      <c r="J138" s="32"/>
      <c r="K138" s="81">
        <f>SUM(K135:K136)</f>
        <v>621.66999999999996</v>
      </c>
      <c r="L138" s="32"/>
      <c r="M138" s="79">
        <f>SUM(C138+E138+G138+I138+K138)</f>
        <v>12488.070000000002</v>
      </c>
      <c r="O138">
        <f>SUM(N135-O135)</f>
        <v>2027.1499999999996</v>
      </c>
    </row>
    <row r="139" spans="1:15" ht="15.75" x14ac:dyDescent="0.3">
      <c r="A139" s="130"/>
      <c r="B139" s="32"/>
      <c r="C139" s="69"/>
      <c r="D139" s="32"/>
      <c r="E139" s="69"/>
      <c r="F139" s="32"/>
      <c r="G139" s="69"/>
      <c r="H139" s="32"/>
      <c r="I139" s="69"/>
      <c r="J139" s="32"/>
      <c r="K139" s="69"/>
      <c r="L139" s="32"/>
      <c r="M139" s="76"/>
    </row>
    <row r="140" spans="1:15" ht="16.5" x14ac:dyDescent="0.3">
      <c r="A140" s="127" t="s">
        <v>127</v>
      </c>
      <c r="B140" s="9"/>
      <c r="C140" s="1"/>
      <c r="E140" s="34">
        <v>10005.780000000001</v>
      </c>
      <c r="G140" s="34"/>
      <c r="I140" s="34"/>
      <c r="K140" s="60"/>
      <c r="M140" s="93">
        <v>3</v>
      </c>
    </row>
    <row r="141" spans="1:15" ht="15.75" x14ac:dyDescent="0.3">
      <c r="A141" s="130" t="s">
        <v>226</v>
      </c>
      <c r="B141" s="9"/>
      <c r="C141" s="1">
        <f>418.33+672.21+2803.05+983.04+618.78+329.6+288.96+689.75+261.17+252+180+779.4+206.42</f>
        <v>8482.7100000000009</v>
      </c>
      <c r="E141" s="34">
        <f>72.25+35.2+67.26+56.13+3813.89+236+5525.6+2510.77+5015.81+2678.66</f>
        <v>20011.57</v>
      </c>
      <c r="G141" s="34">
        <f>4012.93+171.5+577.92+1737.88+1762.97+3375.76+3430.31</f>
        <v>15069.27</v>
      </c>
      <c r="I141" s="34">
        <f>34.93+6.85+9.98+2754.44</f>
        <v>2806.2000000000003</v>
      </c>
      <c r="K141" s="60">
        <f>5456.74+87.52+5354.02+17.85</f>
        <v>10916.130000000001</v>
      </c>
      <c r="M141" s="11">
        <f>SUM(C141+E141+G141+I141+K141)</f>
        <v>57285.880000000005</v>
      </c>
      <c r="N141" s="157">
        <v>27325.05</v>
      </c>
      <c r="O141">
        <v>15747.33</v>
      </c>
    </row>
    <row r="142" spans="1:15" ht="15.75" x14ac:dyDescent="0.3">
      <c r="A142" s="130" t="s">
        <v>234</v>
      </c>
      <c r="B142" s="9"/>
      <c r="C142" s="1">
        <v>0</v>
      </c>
      <c r="E142" s="34">
        <f>2250</f>
        <v>2250</v>
      </c>
      <c r="G142" s="34">
        <v>0</v>
      </c>
      <c r="I142" s="34">
        <f>2025</f>
        <v>2025</v>
      </c>
      <c r="K142" s="60">
        <v>0</v>
      </c>
      <c r="M142" s="11">
        <f t="shared" ref="M142" si="10">SUM(C142+E142+G142+I142+K142)</f>
        <v>4275</v>
      </c>
    </row>
    <row r="143" spans="1:15" ht="15.75" x14ac:dyDescent="0.3">
      <c r="A143" s="134" t="s">
        <v>32</v>
      </c>
      <c r="B143" s="32"/>
      <c r="C143" s="81">
        <f>SUM(C141:C142)</f>
        <v>8482.7100000000009</v>
      </c>
      <c r="D143" s="32"/>
      <c r="E143" s="81">
        <f>SUM(E141:E142)</f>
        <v>22261.57</v>
      </c>
      <c r="F143" s="32"/>
      <c r="G143" s="81">
        <f>SUM(G141:G142)</f>
        <v>15069.27</v>
      </c>
      <c r="H143" s="32"/>
      <c r="I143" s="81">
        <f>SUM(I141:I142)</f>
        <v>4831.2000000000007</v>
      </c>
      <c r="J143" s="32"/>
      <c r="K143" s="81">
        <f>SUM(K141:K142)</f>
        <v>10916.130000000001</v>
      </c>
      <c r="L143" s="32"/>
      <c r="M143" s="79">
        <f>SUM(C143+E143+G143+I143+K143)</f>
        <v>61560.880000000005</v>
      </c>
      <c r="O143" s="157">
        <f>SUM(N141-O141)</f>
        <v>11577.72</v>
      </c>
    </row>
    <row r="144" spans="1:15" ht="15.75" x14ac:dyDescent="0.3">
      <c r="A144" s="127" t="s">
        <v>154</v>
      </c>
      <c r="B144" s="9"/>
      <c r="C144" s="1"/>
      <c r="E144" s="34"/>
      <c r="G144" s="34"/>
      <c r="I144" s="34"/>
      <c r="K144" s="60"/>
      <c r="M144" s="76"/>
    </row>
    <row r="145" spans="1:13" ht="15.75" x14ac:dyDescent="0.3">
      <c r="A145" s="130" t="s">
        <v>80</v>
      </c>
      <c r="B145" s="9"/>
      <c r="C145" s="1">
        <v>0</v>
      </c>
      <c r="E145" s="34">
        <f>800+90+340</f>
        <v>1230</v>
      </c>
      <c r="G145" s="34">
        <v>0</v>
      </c>
      <c r="I145" s="34">
        <f>291.78+516</f>
        <v>807.78</v>
      </c>
      <c r="K145" s="60">
        <v>0</v>
      </c>
      <c r="M145" s="11">
        <f>SUM(C145+E145+G145+I145+K145)</f>
        <v>2037.78</v>
      </c>
    </row>
    <row r="146" spans="1:13" ht="15.75" x14ac:dyDescent="0.3">
      <c r="A146" s="130" t="s">
        <v>79</v>
      </c>
      <c r="B146" s="9"/>
      <c r="C146" s="1">
        <f>833+200+60+14</f>
        <v>1107</v>
      </c>
      <c r="E146" s="34">
        <f>300+1754.36</f>
        <v>2054.3599999999997</v>
      </c>
      <c r="G146" s="34">
        <f>250+291</f>
        <v>541</v>
      </c>
      <c r="I146" s="34">
        <f>47.94+7.48</f>
        <v>55.42</v>
      </c>
      <c r="K146" s="60">
        <f>690.25</f>
        <v>690.25</v>
      </c>
      <c r="M146" s="11">
        <f t="shared" ref="M146:M148" si="11">SUM(C146+E146+G146+I146+K146)</f>
        <v>4448.03</v>
      </c>
    </row>
    <row r="147" spans="1:13" ht="15.75" x14ac:dyDescent="0.3">
      <c r="A147" s="128" t="s">
        <v>129</v>
      </c>
      <c r="B147" s="9"/>
      <c r="C147" s="1">
        <f>107</f>
        <v>107</v>
      </c>
      <c r="E147" s="34">
        <f>400</f>
        <v>400</v>
      </c>
      <c r="G147" s="34">
        <f>1700</f>
        <v>1700</v>
      </c>
      <c r="I147" s="34">
        <f>1700</f>
        <v>1700</v>
      </c>
      <c r="K147" s="60">
        <v>0</v>
      </c>
      <c r="M147" s="11">
        <f t="shared" si="11"/>
        <v>3907</v>
      </c>
    </row>
    <row r="148" spans="1:13" ht="15.75" x14ac:dyDescent="0.3">
      <c r="A148" s="128" t="s">
        <v>227</v>
      </c>
      <c r="B148" s="9"/>
      <c r="C148" s="1">
        <v>0</v>
      </c>
      <c r="E148" s="34">
        <v>0</v>
      </c>
      <c r="G148" s="34">
        <v>0</v>
      </c>
      <c r="I148" s="34">
        <v>1500</v>
      </c>
      <c r="K148" s="60">
        <v>1500</v>
      </c>
      <c r="M148" s="11">
        <f t="shared" si="11"/>
        <v>3000</v>
      </c>
    </row>
    <row r="149" spans="1:13" ht="15.75" x14ac:dyDescent="0.3">
      <c r="A149" s="134" t="s">
        <v>32</v>
      </c>
      <c r="B149" s="32"/>
      <c r="C149" s="81">
        <f>SUM(C145:C148)</f>
        <v>1214</v>
      </c>
      <c r="D149" s="32"/>
      <c r="E149" s="81">
        <f>SUM(E145:E148)</f>
        <v>3684.3599999999997</v>
      </c>
      <c r="F149" s="32"/>
      <c r="G149" s="81">
        <f>SUM(G145:G148)</f>
        <v>2241</v>
      </c>
      <c r="H149" s="32"/>
      <c r="I149" s="81">
        <f>SUM(I145:I148)</f>
        <v>4063.2</v>
      </c>
      <c r="J149" s="32"/>
      <c r="K149" s="81">
        <f>SUM(K145:K148)</f>
        <v>2190.25</v>
      </c>
      <c r="L149" s="32"/>
      <c r="M149" s="79">
        <f>SUM(C149+E149+G149+I149+K149)</f>
        <v>13392.81</v>
      </c>
    </row>
    <row r="150" spans="1:13" ht="15.75" x14ac:dyDescent="0.3">
      <c r="A150" s="127" t="s">
        <v>84</v>
      </c>
      <c r="B150" s="9"/>
      <c r="C150" s="34"/>
      <c r="D150" s="31"/>
      <c r="E150" s="34"/>
      <c r="F150" s="31"/>
      <c r="G150" s="34"/>
      <c r="H150" s="31"/>
      <c r="I150" s="34"/>
      <c r="J150" s="31"/>
      <c r="K150" s="78"/>
      <c r="L150" s="31"/>
      <c r="M150" s="76"/>
    </row>
    <row r="151" spans="1:13" ht="15.75" x14ac:dyDescent="0.3">
      <c r="A151" s="128" t="s">
        <v>85</v>
      </c>
      <c r="B151" s="9"/>
      <c r="C151" s="1">
        <f>13.55+29.9+6.63+40+13.55+6.63+4.2+22+21.5+64.6+53.09</f>
        <v>275.64999999999998</v>
      </c>
      <c r="E151" s="34">
        <f>21.9+5.76+29.9+13.55+7.09+2.1+22+3.4+3.78+61.2+52.05+106.5</f>
        <v>329.23</v>
      </c>
      <c r="G151" s="34">
        <f>4.2+22+57.8+52.46+29.9+40+13.55+21.9</f>
        <v>241.81000000000003</v>
      </c>
      <c r="I151" s="34">
        <f>20.3+41.4+1.7+22.1+4+6.8+1.7+2+1.7+0.85+2+0.85+66+0.85+29.9+6.45+4.2+2.55+12+0.85+0.85+0.85+13.6+16+1.7+22+0.85+2+2+2+1.7+2+2+2.55+2+1.7+0.85+2+38+27+0.85+2+2+0.85</f>
        <v>375.55</v>
      </c>
      <c r="K151" s="60">
        <f>21.9+41.4+2+0.85+2+2+2+2.55+2+2+2+2+8.39+5.57+7.71+29.9+40+0.85+4.2+0.85+121.62+2+2+2+2+2+2+2+2+2+2+2+1.7+29+2+2+2+2+0.85+0.85+2+2+2+2+2+44.2+35.27</f>
        <v>453.65999999999997</v>
      </c>
      <c r="M151" s="11">
        <f t="shared" ref="M151:M154" si="12">SUM(C151:K151)</f>
        <v>1675.9</v>
      </c>
    </row>
    <row r="152" spans="1:13" ht="15.75" x14ac:dyDescent="0.3">
      <c r="A152" s="128" t="s">
        <v>86</v>
      </c>
      <c r="B152" s="9"/>
      <c r="C152" s="1">
        <v>0</v>
      </c>
      <c r="E152" s="34">
        <v>0</v>
      </c>
      <c r="G152" s="34">
        <v>594.99</v>
      </c>
      <c r="I152" s="34">
        <v>0</v>
      </c>
      <c r="K152" s="60">
        <v>0</v>
      </c>
      <c r="M152" s="11">
        <f t="shared" si="12"/>
        <v>594.99</v>
      </c>
    </row>
    <row r="153" spans="1:13" ht="15.75" x14ac:dyDescent="0.3">
      <c r="A153" s="128" t="s">
        <v>200</v>
      </c>
      <c r="B153" s="9"/>
      <c r="C153" s="1">
        <v>0</v>
      </c>
      <c r="E153" s="34">
        <v>0</v>
      </c>
      <c r="G153" s="34">
        <f>258</f>
        <v>258</v>
      </c>
      <c r="I153" s="34">
        <v>0</v>
      </c>
      <c r="K153" s="60">
        <v>0</v>
      </c>
      <c r="M153" s="11">
        <f t="shared" si="12"/>
        <v>258</v>
      </c>
    </row>
    <row r="154" spans="1:13" ht="15.75" x14ac:dyDescent="0.3">
      <c r="A154" s="128" t="s">
        <v>87</v>
      </c>
      <c r="B154" s="9"/>
      <c r="C154" s="1">
        <f>274.34+900</f>
        <v>1174.3399999999999</v>
      </c>
      <c r="E154" s="34">
        <f>298.6</f>
        <v>298.60000000000002</v>
      </c>
      <c r="G154" s="34">
        <f>298.6</f>
        <v>298.60000000000002</v>
      </c>
      <c r="I154" s="34">
        <f>393.64</f>
        <v>393.64</v>
      </c>
      <c r="K154" s="60">
        <v>0</v>
      </c>
      <c r="M154" s="11">
        <f t="shared" si="12"/>
        <v>2165.1799999999998</v>
      </c>
    </row>
    <row r="155" spans="1:13" ht="15.75" x14ac:dyDescent="0.3">
      <c r="A155" s="134" t="s">
        <v>32</v>
      </c>
      <c r="B155" s="32"/>
      <c r="C155" s="81">
        <f>SUM(C150:C154)</f>
        <v>1449.9899999999998</v>
      </c>
      <c r="D155" s="32"/>
      <c r="E155" s="81">
        <f>SUM(E150:E154)</f>
        <v>627.83000000000004</v>
      </c>
      <c r="F155" s="32"/>
      <c r="G155" s="81">
        <f>SUM(G150:G154)</f>
        <v>1393.4</v>
      </c>
      <c r="H155" s="32"/>
      <c r="I155" s="81">
        <f>SUM(I150:I154)</f>
        <v>769.19</v>
      </c>
      <c r="J155" s="32"/>
      <c r="K155" s="81">
        <f>SUM(K150:K154)</f>
        <v>453.65999999999997</v>
      </c>
      <c r="L155" s="32"/>
      <c r="M155" s="79">
        <f>SUM(C155+E155+G155+I155+K155)</f>
        <v>4694.07</v>
      </c>
    </row>
    <row r="156" spans="1:13" s="31" customFormat="1" ht="15.75" x14ac:dyDescent="0.3">
      <c r="A156" s="118"/>
      <c r="B156" s="32"/>
      <c r="C156" s="69"/>
      <c r="D156" s="32"/>
      <c r="E156" s="69"/>
      <c r="F156" s="32"/>
      <c r="G156" s="69"/>
      <c r="H156" s="32"/>
      <c r="I156" s="69"/>
      <c r="J156" s="32"/>
      <c r="K156" s="69"/>
      <c r="L156" s="32"/>
      <c r="M156" s="76"/>
    </row>
    <row r="157" spans="1:13" ht="15.75" x14ac:dyDescent="0.3">
      <c r="A157" s="134" t="s">
        <v>32</v>
      </c>
      <c r="B157" s="32"/>
      <c r="C157" s="81">
        <f>SUM(C155+C149+C143+C138+C133+C126+C90+C83+C76+C73+C68+C60+C55)</f>
        <v>163049.38500000001</v>
      </c>
      <c r="D157" s="32"/>
      <c r="E157" s="81">
        <f>SUM(E155+E149+E143+E138+E133+E126+E90+E83+E76+E73+E68+E60+E55)</f>
        <v>294755.47000000003</v>
      </c>
      <c r="F157" s="32"/>
      <c r="G157" s="81">
        <f>SUM(G155+G149+G143+G138+G133+G126+G90+G83+G76+G73+G68+G60+G55)</f>
        <v>196832.12</v>
      </c>
      <c r="H157" s="32"/>
      <c r="I157" s="81">
        <f>SUM(I155+I149+I143+I138+I133+I126+I90+I83+I76+I73+I68+I60+I55)</f>
        <v>214929.69999999995</v>
      </c>
      <c r="J157" s="32"/>
      <c r="K157" s="81">
        <f>SUM(K155+K149+K143+K138+K133+K126+K90+K83+K76+K73+K68+K60+K55)</f>
        <v>233596.31000000003</v>
      </c>
      <c r="L157" s="32"/>
      <c r="M157" s="79">
        <f>SUM(M55+M60+M68+M73+M76+M83+M90+M126+M133+M138+M143+M149+M155)</f>
        <v>1103162.9850000001</v>
      </c>
    </row>
    <row r="158" spans="1:13" s="31" customFormat="1" ht="15.75" x14ac:dyDescent="0.3">
      <c r="A158" s="118"/>
      <c r="B158" s="32"/>
      <c r="C158" s="69"/>
      <c r="D158" s="32"/>
      <c r="E158" s="69"/>
      <c r="F158" s="32"/>
      <c r="G158" s="69"/>
      <c r="H158" s="32"/>
      <c r="I158" s="69"/>
      <c r="J158" s="32"/>
      <c r="K158" s="69"/>
      <c r="L158" s="32"/>
      <c r="M158" s="76"/>
    </row>
    <row r="159" spans="1:13" s="31" customFormat="1" ht="15.75" hidden="1" x14ac:dyDescent="0.3">
      <c r="A159" s="119" t="s">
        <v>176</v>
      </c>
      <c r="B159" s="32"/>
      <c r="C159" s="34"/>
      <c r="E159" s="34"/>
      <c r="G159" s="34"/>
      <c r="I159" s="34"/>
      <c r="K159" s="78"/>
      <c r="M159" s="76"/>
    </row>
    <row r="160" spans="1:13" s="31" customFormat="1" ht="15.75" hidden="1" x14ac:dyDescent="0.3">
      <c r="A160" s="120" t="s">
        <v>178</v>
      </c>
      <c r="B160" s="32"/>
      <c r="C160" s="34">
        <v>0</v>
      </c>
      <c r="E160" s="34">
        <v>0</v>
      </c>
      <c r="G160" s="34">
        <v>0</v>
      </c>
      <c r="I160" s="34">
        <f>1850</f>
        <v>1850</v>
      </c>
      <c r="K160" s="78">
        <f>13031.55+2000</f>
        <v>15031.55</v>
      </c>
      <c r="M160" s="76">
        <f>SUM(C160+E160+G160+I160+K160)</f>
        <v>16881.55</v>
      </c>
    </row>
    <row r="161" spans="1:13" s="31" customFormat="1" ht="15.75" hidden="1" x14ac:dyDescent="0.3">
      <c r="A161" s="120" t="s">
        <v>177</v>
      </c>
      <c r="B161" s="32"/>
      <c r="C161" s="34">
        <v>0</v>
      </c>
      <c r="E161" s="34">
        <v>0</v>
      </c>
      <c r="G161" s="34">
        <v>0</v>
      </c>
      <c r="I161" s="34">
        <v>0</v>
      </c>
      <c r="K161" s="78">
        <v>0</v>
      </c>
      <c r="M161" s="76">
        <f t="shared" ref="M161:M167" si="13">SUM(C161+E161+G161+I161+K161)</f>
        <v>0</v>
      </c>
    </row>
    <row r="162" spans="1:13" s="31" customFormat="1" ht="15.75" hidden="1" x14ac:dyDescent="0.3">
      <c r="A162" s="120" t="s">
        <v>228</v>
      </c>
      <c r="B162" s="32"/>
      <c r="C162" s="34">
        <v>2122.41</v>
      </c>
      <c r="E162" s="34">
        <v>0</v>
      </c>
      <c r="G162" s="34">
        <v>0</v>
      </c>
      <c r="I162" s="34">
        <v>0</v>
      </c>
      <c r="K162" s="78">
        <v>0</v>
      </c>
      <c r="M162" s="76">
        <f t="shared" si="13"/>
        <v>2122.41</v>
      </c>
    </row>
    <row r="163" spans="1:13" s="31" customFormat="1" ht="15.75" hidden="1" x14ac:dyDescent="0.3">
      <c r="A163" s="120" t="s">
        <v>192</v>
      </c>
      <c r="B163" s="32"/>
      <c r="C163" s="34">
        <f>7500</f>
        <v>7500</v>
      </c>
      <c r="E163" s="34">
        <v>0</v>
      </c>
      <c r="G163" s="34">
        <v>0</v>
      </c>
      <c r="I163" s="34">
        <v>0</v>
      </c>
      <c r="K163" s="78">
        <v>0</v>
      </c>
      <c r="M163" s="76">
        <f t="shared" si="13"/>
        <v>7500</v>
      </c>
    </row>
    <row r="164" spans="1:13" s="31" customFormat="1" ht="15.75" hidden="1" x14ac:dyDescent="0.3">
      <c r="A164" s="120" t="s">
        <v>184</v>
      </c>
      <c r="B164" s="32"/>
      <c r="C164" s="34">
        <f>150</f>
        <v>150</v>
      </c>
      <c r="E164" s="34">
        <v>0</v>
      </c>
      <c r="G164" s="34">
        <v>0</v>
      </c>
      <c r="I164" s="34">
        <v>0</v>
      </c>
      <c r="K164" s="78">
        <v>0</v>
      </c>
      <c r="M164" s="76">
        <f t="shared" si="13"/>
        <v>150</v>
      </c>
    </row>
    <row r="165" spans="1:13" s="31" customFormat="1" ht="15.75" hidden="1" x14ac:dyDescent="0.3">
      <c r="A165" s="120" t="s">
        <v>180</v>
      </c>
      <c r="B165" s="32"/>
      <c r="C165" s="34">
        <f>452+307</f>
        <v>759</v>
      </c>
      <c r="E165" s="34">
        <f>21.9</f>
        <v>21.9</v>
      </c>
      <c r="G165" s="34">
        <v>0</v>
      </c>
      <c r="I165" s="34">
        <v>0</v>
      </c>
      <c r="K165" s="78">
        <v>0</v>
      </c>
      <c r="M165" s="76">
        <f t="shared" si="13"/>
        <v>780.9</v>
      </c>
    </row>
    <row r="166" spans="1:13" s="31" customFormat="1" ht="15.75" hidden="1" x14ac:dyDescent="0.3">
      <c r="A166" s="120" t="s">
        <v>194</v>
      </c>
      <c r="B166" s="32"/>
      <c r="C166" s="34">
        <v>0</v>
      </c>
      <c r="E166" s="34">
        <f>149.87</f>
        <v>149.87</v>
      </c>
      <c r="G166" s="34">
        <v>0</v>
      </c>
      <c r="I166" s="34">
        <v>0</v>
      </c>
      <c r="K166" s="78">
        <v>0</v>
      </c>
      <c r="M166" s="76">
        <f t="shared" si="13"/>
        <v>149.87</v>
      </c>
    </row>
    <row r="167" spans="1:13" s="31" customFormat="1" ht="15.75" hidden="1" x14ac:dyDescent="0.3">
      <c r="A167" s="120" t="s">
        <v>203</v>
      </c>
      <c r="B167" s="32"/>
      <c r="C167" s="34">
        <v>0</v>
      </c>
      <c r="E167" s="34">
        <v>0</v>
      </c>
      <c r="G167" s="34">
        <v>0</v>
      </c>
      <c r="I167" s="34">
        <f>1426.35</f>
        <v>1426.35</v>
      </c>
      <c r="K167" s="78">
        <v>0</v>
      </c>
      <c r="M167" s="76">
        <f t="shared" si="13"/>
        <v>1426.35</v>
      </c>
    </row>
    <row r="168" spans="1:13" s="31" customFormat="1" ht="15.75" hidden="1" x14ac:dyDescent="0.3">
      <c r="A168" s="118" t="s">
        <v>32</v>
      </c>
      <c r="B168" s="32"/>
      <c r="C168" s="69">
        <f>SUM(C160:C167)</f>
        <v>10531.41</v>
      </c>
      <c r="D168" s="32"/>
      <c r="E168" s="69">
        <f>SUM(E160:E167)</f>
        <v>171.77</v>
      </c>
      <c r="F168" s="32"/>
      <c r="G168" s="69">
        <f>SUM(G160:G167)</f>
        <v>0</v>
      </c>
      <c r="H168" s="32"/>
      <c r="I168" s="69">
        <f>SUM(I160:I167)</f>
        <v>3276.35</v>
      </c>
      <c r="J168" s="32"/>
      <c r="K168" s="69">
        <f>SUM(K160:K167)</f>
        <v>15031.55</v>
      </c>
      <c r="L168" s="32"/>
      <c r="M168" s="76">
        <f>SUM(C168+E168+G168+I168+K168)</f>
        <v>29011.08</v>
      </c>
    </row>
    <row r="169" spans="1:13" s="31" customFormat="1" hidden="1" x14ac:dyDescent="0.25">
      <c r="A169" s="121"/>
      <c r="K169" s="80"/>
    </row>
    <row r="170" spans="1:13" s="31" customFormat="1" ht="15.75" hidden="1" x14ac:dyDescent="0.3">
      <c r="A170" s="118" t="s">
        <v>32</v>
      </c>
      <c r="B170" s="32"/>
      <c r="C170" s="69">
        <f>SUM(C168+C155+C149+C143+C138+C133+C126+C90+C83+C76+C73+C68+C60+C55)</f>
        <v>173580.79500000001</v>
      </c>
      <c r="D170" s="32"/>
      <c r="E170" s="69">
        <f>SUM(E168+E155+E149+E143+E138+E133+E126+E90+E83+E76+E73+E68+E60+E55)</f>
        <v>294927.24000000005</v>
      </c>
      <c r="F170" s="32"/>
      <c r="G170" s="69">
        <f>SUM(G168+G155+G149+G143+G138+G133+G126+G90+G83+G76+G73+G68+G60+G55)</f>
        <v>196832.12</v>
      </c>
      <c r="H170" s="32"/>
      <c r="I170" s="69">
        <f>SUM(I168+I155+I149+I143+I138+I133+I126+I90+I83+I76+I73+I68+I60+I55)</f>
        <v>218206.05</v>
      </c>
      <c r="J170" s="32"/>
      <c r="K170" s="69">
        <f>SUM(K168+K155+K149+K143+K138+K133+K126+K90+K83+K76+K73+K68+K60+K55)</f>
        <v>248627.86000000002</v>
      </c>
      <c r="L170" s="32"/>
      <c r="M170" s="76">
        <f>SUM(M55+M60+M68+M73+M76+M83+M90+M126+M133+M138+M143+M149+M155+M168)</f>
        <v>1132174.0650000002</v>
      </c>
    </row>
    <row r="171" spans="1:13" s="31" customFormat="1" hidden="1" x14ac:dyDescent="0.25">
      <c r="A171" s="121"/>
      <c r="K171" s="80"/>
    </row>
    <row r="172" spans="1:13" s="31" customFormat="1" hidden="1" x14ac:dyDescent="0.25">
      <c r="A172" s="121"/>
      <c r="K172" s="80"/>
    </row>
  </sheetData>
  <mergeCells count="2">
    <mergeCell ref="C2:K2"/>
    <mergeCell ref="C3:K3"/>
  </mergeCells>
  <conditionalFormatting sqref="A54">
    <cfRule type="dataBar" priority="91">
      <dataBar>
        <cfvo type="min"/>
        <cfvo type="max"/>
        <color theme="0"/>
      </dataBar>
    </cfRule>
    <cfRule type="dataBar" priority="92">
      <dataBar>
        <cfvo type="min"/>
        <cfvo type="max"/>
        <color theme="0"/>
      </dataBar>
    </cfRule>
  </conditionalFormatting>
  <conditionalFormatting sqref="A91">
    <cfRule type="dataBar" priority="89">
      <dataBar>
        <cfvo type="min"/>
        <cfvo type="max"/>
        <color theme="0"/>
      </dataBar>
    </cfRule>
    <cfRule type="dataBar" priority="90">
      <dataBar>
        <cfvo type="min"/>
        <cfvo type="max"/>
        <color theme="0"/>
      </dataBar>
    </cfRule>
  </conditionalFormatting>
  <conditionalFormatting sqref="A93">
    <cfRule type="dataBar" priority="87">
      <dataBar>
        <cfvo type="min"/>
        <cfvo type="max"/>
        <color theme="0"/>
      </dataBar>
    </cfRule>
    <cfRule type="dataBar" priority="88">
      <dataBar>
        <cfvo type="min"/>
        <cfvo type="max"/>
        <color theme="0"/>
      </dataBar>
    </cfRule>
  </conditionalFormatting>
  <conditionalFormatting sqref="A116">
    <cfRule type="dataBar" priority="85">
      <dataBar>
        <cfvo type="min"/>
        <cfvo type="max"/>
        <color theme="0"/>
      </dataBar>
    </cfRule>
    <cfRule type="dataBar" priority="86">
      <dataBar>
        <cfvo type="min"/>
        <cfvo type="max"/>
        <color theme="0"/>
      </dataBar>
    </cfRule>
  </conditionalFormatting>
  <conditionalFormatting sqref="A133:A134">
    <cfRule type="dataBar" priority="83">
      <dataBar>
        <cfvo type="min"/>
        <cfvo type="max"/>
        <color theme="0"/>
      </dataBar>
    </cfRule>
    <cfRule type="dataBar" priority="84">
      <dataBar>
        <cfvo type="min"/>
        <cfvo type="max"/>
        <color theme="0"/>
      </dataBar>
    </cfRule>
  </conditionalFormatting>
  <conditionalFormatting sqref="A133:A134">
    <cfRule type="dataBar" priority="80">
      <dataBar>
        <cfvo type="min"/>
        <cfvo type="max"/>
        <color rgb="FFFF555A"/>
      </dataBar>
    </cfRule>
    <cfRule type="iconSet" priority="81">
      <iconSet iconSet="4TrafficLights">
        <cfvo type="percent" val="0"/>
        <cfvo type="percent" val="25"/>
        <cfvo type="percent" val="50"/>
        <cfvo type="percent" val="75"/>
      </iconSet>
    </cfRule>
    <cfRule type="dataBar" priority="82">
      <dataBar>
        <cfvo type="min"/>
        <cfvo type="max"/>
        <color rgb="FF638EC6"/>
      </dataBar>
    </cfRule>
  </conditionalFormatting>
  <conditionalFormatting sqref="A140">
    <cfRule type="dataBar" priority="78">
      <dataBar>
        <cfvo type="min"/>
        <cfvo type="max"/>
        <color theme="0"/>
      </dataBar>
    </cfRule>
    <cfRule type="dataBar" priority="79">
      <dataBar>
        <cfvo type="min"/>
        <cfvo type="max"/>
        <color theme="0"/>
      </dataBar>
    </cfRule>
  </conditionalFormatting>
  <conditionalFormatting sqref="A140">
    <cfRule type="dataBar" priority="75">
      <dataBar>
        <cfvo type="min"/>
        <cfvo type="max"/>
        <color rgb="FFFF555A"/>
      </dataBar>
    </cfRule>
    <cfRule type="iconSet" priority="76">
      <iconSet iconSet="4TrafficLights">
        <cfvo type="percent" val="0"/>
        <cfvo type="percent" val="25"/>
        <cfvo type="percent" val="50"/>
        <cfvo type="percent" val="75"/>
      </iconSet>
    </cfRule>
    <cfRule type="dataBar" priority="77">
      <dataBar>
        <cfvo type="min"/>
        <cfvo type="max"/>
        <color rgb="FF638EC6"/>
      </dataBar>
    </cfRule>
  </conditionalFormatting>
  <conditionalFormatting sqref="A143:A145">
    <cfRule type="dataBar" priority="73">
      <dataBar>
        <cfvo type="min"/>
        <cfvo type="max"/>
        <color theme="0"/>
      </dataBar>
    </cfRule>
    <cfRule type="dataBar" priority="74">
      <dataBar>
        <cfvo type="min"/>
        <cfvo type="max"/>
        <color theme="0"/>
      </dataBar>
    </cfRule>
  </conditionalFormatting>
  <conditionalFormatting sqref="A143:A145">
    <cfRule type="dataBar" priority="70">
      <dataBar>
        <cfvo type="min"/>
        <cfvo type="max"/>
        <color rgb="FFFF555A"/>
      </dataBar>
    </cfRule>
    <cfRule type="iconSet" priority="71">
      <iconSet iconSet="4TrafficLights">
        <cfvo type="percent" val="0"/>
        <cfvo type="percent" val="25"/>
        <cfvo type="percent" val="50"/>
        <cfvo type="percent" val="75"/>
      </iconSet>
    </cfRule>
    <cfRule type="dataBar" priority="72">
      <dataBar>
        <cfvo type="min"/>
        <cfvo type="max"/>
        <color rgb="FF638EC6"/>
      </dataBar>
    </cfRule>
  </conditionalFormatting>
  <conditionalFormatting sqref="A144">
    <cfRule type="dataBar" priority="68">
      <dataBar>
        <cfvo type="min"/>
        <cfvo type="max"/>
        <color theme="0"/>
      </dataBar>
    </cfRule>
    <cfRule type="dataBar" priority="69">
      <dataBar>
        <cfvo type="min"/>
        <cfvo type="max"/>
        <color theme="0"/>
      </dataBar>
    </cfRule>
  </conditionalFormatting>
  <conditionalFormatting sqref="A144">
    <cfRule type="dataBar" priority="65">
      <dataBar>
        <cfvo type="min"/>
        <cfvo type="max"/>
        <color rgb="FFFF555A"/>
      </dataBar>
    </cfRule>
    <cfRule type="iconSet" priority="66">
      <iconSet iconSet="4TrafficLights">
        <cfvo type="percent" val="0"/>
        <cfvo type="percent" val="25"/>
        <cfvo type="percent" val="50"/>
        <cfvo type="percent" val="75"/>
      </iconSet>
    </cfRule>
    <cfRule type="dataBar" priority="67">
      <dataBar>
        <cfvo type="min"/>
        <cfvo type="max"/>
        <color rgb="FF638EC6"/>
      </dataBar>
    </cfRule>
  </conditionalFormatting>
  <conditionalFormatting sqref="A148">
    <cfRule type="dataBar" priority="63">
      <dataBar>
        <cfvo type="min"/>
        <cfvo type="max"/>
        <color theme="0"/>
      </dataBar>
    </cfRule>
    <cfRule type="dataBar" priority="64">
      <dataBar>
        <cfvo type="min"/>
        <cfvo type="max"/>
        <color theme="0"/>
      </dataBar>
    </cfRule>
  </conditionalFormatting>
  <conditionalFormatting sqref="A159">
    <cfRule type="dataBar" priority="61">
      <dataBar>
        <cfvo type="min"/>
        <cfvo type="max"/>
        <color theme="0"/>
      </dataBar>
    </cfRule>
    <cfRule type="dataBar" priority="62">
      <dataBar>
        <cfvo type="min"/>
        <cfvo type="max"/>
        <color theme="0"/>
      </dataBar>
    </cfRule>
  </conditionalFormatting>
  <conditionalFormatting sqref="A159">
    <cfRule type="dataBar" priority="58">
      <dataBar>
        <cfvo type="min"/>
        <cfvo type="max"/>
        <color rgb="FFFF555A"/>
      </dataBar>
    </cfRule>
    <cfRule type="iconSet" priority="59">
      <iconSet iconSet="4TrafficLights">
        <cfvo type="percent" val="0"/>
        <cfvo type="percent" val="25"/>
        <cfvo type="percent" val="50"/>
        <cfvo type="percent" val="75"/>
      </iconSet>
    </cfRule>
    <cfRule type="dataBar" priority="60">
      <dataBar>
        <cfvo type="min"/>
        <cfvo type="max"/>
        <color rgb="FF638EC6"/>
      </dataBar>
    </cfRule>
  </conditionalFormatting>
  <conditionalFormatting sqref="A146">
    <cfRule type="dataBar" priority="56">
      <dataBar>
        <cfvo type="min"/>
        <cfvo type="max"/>
        <color theme="0"/>
      </dataBar>
    </cfRule>
    <cfRule type="dataBar" priority="57">
      <dataBar>
        <cfvo type="min"/>
        <cfvo type="max"/>
        <color theme="0"/>
      </dataBar>
    </cfRule>
  </conditionalFormatting>
  <conditionalFormatting sqref="A150:A154">
    <cfRule type="dataBar" priority="54">
      <dataBar>
        <cfvo type="min"/>
        <cfvo type="max"/>
        <color theme="0"/>
      </dataBar>
    </cfRule>
    <cfRule type="dataBar" priority="55">
      <dataBar>
        <cfvo type="min"/>
        <cfvo type="max"/>
        <color theme="0"/>
      </dataBar>
    </cfRule>
  </conditionalFormatting>
  <conditionalFormatting sqref="A149:A158">
    <cfRule type="dataBar" priority="52">
      <dataBar>
        <cfvo type="min"/>
        <cfvo type="max"/>
        <color theme="0"/>
      </dataBar>
    </cfRule>
    <cfRule type="dataBar" priority="53">
      <dataBar>
        <cfvo type="min"/>
        <cfvo type="max"/>
        <color theme="0"/>
      </dataBar>
    </cfRule>
  </conditionalFormatting>
  <conditionalFormatting sqref="A149:A158">
    <cfRule type="dataBar" priority="49">
      <dataBar>
        <cfvo type="min"/>
        <cfvo type="max"/>
        <color rgb="FFFF555A"/>
      </dataBar>
    </cfRule>
    <cfRule type="iconSet" priority="50">
      <iconSet iconSet="4TrafficLights">
        <cfvo type="percent" val="0"/>
        <cfvo type="percent" val="25"/>
        <cfvo type="percent" val="50"/>
        <cfvo type="percent" val="75"/>
      </iconSet>
    </cfRule>
    <cfRule type="dataBar" priority="51">
      <dataBar>
        <cfvo type="min"/>
        <cfvo type="max"/>
        <color rgb="FF638EC6"/>
      </dataBar>
    </cfRule>
  </conditionalFormatting>
  <conditionalFormatting sqref="A159:A167">
    <cfRule type="dataBar" priority="47">
      <dataBar>
        <cfvo type="min"/>
        <cfvo type="max"/>
        <color theme="0"/>
      </dataBar>
    </cfRule>
    <cfRule type="dataBar" priority="48">
      <dataBar>
        <cfvo type="min"/>
        <cfvo type="max"/>
        <color theme="0"/>
      </dataBar>
    </cfRule>
  </conditionalFormatting>
  <conditionalFormatting sqref="A168">
    <cfRule type="dataBar" priority="45">
      <dataBar>
        <cfvo type="min"/>
        <cfvo type="max"/>
        <color theme="0"/>
      </dataBar>
    </cfRule>
    <cfRule type="dataBar" priority="46">
      <dataBar>
        <cfvo type="min"/>
        <cfvo type="max"/>
        <color theme="0"/>
      </dataBar>
    </cfRule>
  </conditionalFormatting>
  <conditionalFormatting sqref="A168">
    <cfRule type="dataBar" priority="42">
      <dataBar>
        <cfvo type="min"/>
        <cfvo type="max"/>
        <color rgb="FFFF555A"/>
      </dataBar>
    </cfRule>
    <cfRule type="iconSet" priority="43">
      <iconSet iconSet="4TrafficLights">
        <cfvo type="percent" val="0"/>
        <cfvo type="percent" val="25"/>
        <cfvo type="percent" val="50"/>
        <cfvo type="percent" val="75"/>
      </iconSet>
    </cfRule>
    <cfRule type="dataBar" priority="44">
      <dataBar>
        <cfvo type="min"/>
        <cfvo type="max"/>
        <color rgb="FF638EC6"/>
      </dataBar>
    </cfRule>
  </conditionalFormatting>
  <conditionalFormatting sqref="A168">
    <cfRule type="dataBar" priority="40">
      <dataBar>
        <cfvo type="min"/>
        <cfvo type="max"/>
        <color theme="0"/>
      </dataBar>
    </cfRule>
    <cfRule type="dataBar" priority="41">
      <dataBar>
        <cfvo type="min"/>
        <cfvo type="max"/>
        <color theme="0"/>
      </dataBar>
    </cfRule>
  </conditionalFormatting>
  <conditionalFormatting sqref="A168">
    <cfRule type="dataBar" priority="37">
      <dataBar>
        <cfvo type="min"/>
        <cfvo type="max"/>
        <color rgb="FFFF555A"/>
      </dataBar>
    </cfRule>
    <cfRule type="iconSet" priority="38">
      <iconSet iconSet="4TrafficLights">
        <cfvo type="percent" val="0"/>
        <cfvo type="percent" val="25"/>
        <cfvo type="percent" val="50"/>
        <cfvo type="percent" val="75"/>
      </iconSet>
    </cfRule>
    <cfRule type="dataBar" priority="39">
      <dataBar>
        <cfvo type="min"/>
        <cfvo type="max"/>
        <color rgb="FF638EC6"/>
      </dataBar>
    </cfRule>
  </conditionalFormatting>
  <conditionalFormatting sqref="A170">
    <cfRule type="dataBar" priority="35">
      <dataBar>
        <cfvo type="min"/>
        <cfvo type="max"/>
        <color theme="0"/>
      </dataBar>
    </cfRule>
    <cfRule type="dataBar" priority="36">
      <dataBar>
        <cfvo type="min"/>
        <cfvo type="max"/>
        <color theme="0"/>
      </dataBar>
    </cfRule>
  </conditionalFormatting>
  <conditionalFormatting sqref="A170">
    <cfRule type="dataBar" priority="32">
      <dataBar>
        <cfvo type="min"/>
        <cfvo type="max"/>
        <color rgb="FFFF555A"/>
      </dataBar>
    </cfRule>
    <cfRule type="iconSet" priority="33">
      <iconSet iconSet="4TrafficLights">
        <cfvo type="percent" val="0"/>
        <cfvo type="percent" val="25"/>
        <cfvo type="percent" val="50"/>
        <cfvo type="percent" val="75"/>
      </iconSet>
    </cfRule>
    <cfRule type="dataBar" priority="34">
      <dataBar>
        <cfvo type="min"/>
        <cfvo type="max"/>
        <color rgb="FF638EC6"/>
      </dataBar>
    </cfRule>
  </conditionalFormatting>
  <conditionalFormatting sqref="A170">
    <cfRule type="dataBar" priority="30">
      <dataBar>
        <cfvo type="min"/>
        <cfvo type="max"/>
        <color theme="0"/>
      </dataBar>
    </cfRule>
    <cfRule type="dataBar" priority="31">
      <dataBar>
        <cfvo type="min"/>
        <cfvo type="max"/>
        <color theme="0"/>
      </dataBar>
    </cfRule>
  </conditionalFormatting>
  <conditionalFormatting sqref="A170">
    <cfRule type="dataBar" priority="27">
      <dataBar>
        <cfvo type="min"/>
        <cfvo type="max"/>
        <color rgb="FFFF555A"/>
      </dataBar>
    </cfRule>
    <cfRule type="iconSet" priority="28">
      <iconSet iconSet="4TrafficLights">
        <cfvo type="percent" val="0"/>
        <cfvo type="percent" val="25"/>
        <cfvo type="percent" val="50"/>
        <cfvo type="percent" val="75"/>
      </iconSet>
    </cfRule>
    <cfRule type="dataBar" priority="29">
      <dataBar>
        <cfvo type="min"/>
        <cfvo type="max"/>
        <color rgb="FF638EC6"/>
      </dataBar>
    </cfRule>
  </conditionalFormatting>
  <conditionalFormatting sqref="A157:A158">
    <cfRule type="dataBar" priority="25">
      <dataBar>
        <cfvo type="min"/>
        <cfvo type="max"/>
        <color theme="0"/>
      </dataBar>
    </cfRule>
    <cfRule type="dataBar" priority="26">
      <dataBar>
        <cfvo type="min"/>
        <cfvo type="max"/>
        <color theme="0"/>
      </dataBar>
    </cfRule>
  </conditionalFormatting>
  <conditionalFormatting sqref="A157:A158">
    <cfRule type="dataBar" priority="22">
      <dataBar>
        <cfvo type="min"/>
        <cfvo type="max"/>
        <color rgb="FFFF555A"/>
      </dataBar>
    </cfRule>
    <cfRule type="iconSet" priority="23">
      <iconSet iconSet="4TrafficLights">
        <cfvo type="percent" val="0"/>
        <cfvo type="percent" val="25"/>
        <cfvo type="percent" val="50"/>
        <cfvo type="percent" val="75"/>
      </iconSet>
    </cfRule>
    <cfRule type="dataBar" priority="24">
      <dataBar>
        <cfvo type="min"/>
        <cfvo type="max"/>
        <color rgb="FF638EC6"/>
      </dataBar>
    </cfRule>
  </conditionalFormatting>
  <conditionalFormatting sqref="A157:A158">
    <cfRule type="dataBar" priority="20">
      <dataBar>
        <cfvo type="min"/>
        <cfvo type="max"/>
        <color theme="0"/>
      </dataBar>
    </cfRule>
    <cfRule type="dataBar" priority="21">
      <dataBar>
        <cfvo type="min"/>
        <cfvo type="max"/>
        <color theme="0"/>
      </dataBar>
    </cfRule>
  </conditionalFormatting>
  <conditionalFormatting sqref="A157:A158">
    <cfRule type="dataBar" priority="17">
      <dataBar>
        <cfvo type="min"/>
        <cfvo type="max"/>
        <color rgb="FFFF555A"/>
      </dataBar>
    </cfRule>
    <cfRule type="iconSet" priority="18">
      <iconSet iconSet="4TrafficLights">
        <cfvo type="percent" val="0"/>
        <cfvo type="percent" val="25"/>
        <cfvo type="percent" val="50"/>
        <cfvo type="percent" val="75"/>
      </iconSet>
    </cfRule>
    <cfRule type="dataBar" priority="19">
      <dataBar>
        <cfvo type="min"/>
        <cfvo type="max"/>
        <color rgb="FF638EC6"/>
      </dataBar>
    </cfRule>
  </conditionalFormatting>
  <conditionalFormatting sqref="A95:A115">
    <cfRule type="dataBar" priority="15">
      <dataBar>
        <cfvo type="min"/>
        <cfvo type="max"/>
        <color theme="0"/>
      </dataBar>
    </cfRule>
    <cfRule type="dataBar" priority="16">
      <dataBar>
        <cfvo type="min"/>
        <cfvo type="max"/>
        <color theme="0"/>
      </dataBar>
    </cfRule>
  </conditionalFormatting>
  <conditionalFormatting sqref="A91:A116">
    <cfRule type="dataBar" priority="13">
      <dataBar>
        <cfvo type="min"/>
        <cfvo type="max"/>
        <color theme="0"/>
      </dataBar>
    </cfRule>
    <cfRule type="dataBar" priority="14">
      <dataBar>
        <cfvo type="min"/>
        <cfvo type="max"/>
        <color theme="0"/>
      </dataBar>
    </cfRule>
  </conditionalFormatting>
  <conditionalFormatting sqref="A94:A116">
    <cfRule type="dataBar" priority="11">
      <dataBar>
        <cfvo type="min"/>
        <cfvo type="max"/>
        <color theme="0"/>
      </dataBar>
    </cfRule>
    <cfRule type="dataBar" priority="12">
      <dataBar>
        <cfvo type="min"/>
        <cfvo type="max"/>
        <color theme="0"/>
      </dataBar>
    </cfRule>
  </conditionalFormatting>
  <conditionalFormatting sqref="A9:A126">
    <cfRule type="dataBar" priority="9">
      <dataBar>
        <cfvo type="min"/>
        <cfvo type="max"/>
        <color theme="0"/>
      </dataBar>
    </cfRule>
    <cfRule type="dataBar" priority="10">
      <dataBar>
        <cfvo type="min"/>
        <cfvo type="max"/>
        <color theme="0"/>
      </dataBar>
    </cfRule>
  </conditionalFormatting>
  <conditionalFormatting sqref="A9:A126">
    <cfRule type="dataBar" priority="6">
      <dataBar>
        <cfvo type="min"/>
        <cfvo type="max"/>
        <color rgb="FFFF555A"/>
      </dataBar>
    </cfRule>
    <cfRule type="iconSet" priority="7">
      <iconSet iconSet="4TrafficLights">
        <cfvo type="percent" val="0"/>
        <cfvo type="percent" val="25"/>
        <cfvo type="percent" val="50"/>
        <cfvo type="percent" val="75"/>
      </iconSet>
    </cfRule>
    <cfRule type="dataBar" priority="8">
      <dataBar>
        <cfvo type="min"/>
        <cfvo type="max"/>
        <color rgb="FF638EC6"/>
      </dataBar>
    </cfRule>
  </conditionalFormatting>
  <conditionalFormatting sqref="A127:A158">
    <cfRule type="dataBar" priority="4">
      <dataBar>
        <cfvo type="min"/>
        <cfvo type="max"/>
        <color theme="0"/>
      </dataBar>
    </cfRule>
    <cfRule type="dataBar" priority="5">
      <dataBar>
        <cfvo type="min"/>
        <cfvo type="max"/>
        <color theme="0"/>
      </dataBar>
    </cfRule>
  </conditionalFormatting>
  <conditionalFormatting sqref="A127:A158">
    <cfRule type="dataBar" priority="1">
      <dataBar>
        <cfvo type="min"/>
        <cfvo type="max"/>
        <color rgb="FFFF555A"/>
      </dataBar>
    </cfRule>
    <cfRule type="iconSet" priority="2">
      <iconSet iconSet="4TrafficLights">
        <cfvo type="percent" val="0"/>
        <cfvo type="percent" val="25"/>
        <cfvo type="percent" val="50"/>
        <cfvo type="percent" val="75"/>
      </iconSet>
    </cfRule>
    <cfRule type="dataBar" priority="3">
      <dataBar>
        <cfvo type="min"/>
        <cfvo type="max"/>
        <color rgb="FF638EC6"/>
      </dataBar>
    </cfRule>
  </conditionalFormatting>
  <pageMargins left="0" right="0" top="0" bottom="0" header="0.31496062992125984" footer="0.31496062992125984"/>
  <pageSetup paperSize="9" scale="7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M172"/>
  <sheetViews>
    <sheetView zoomScale="91" zoomScaleNormal="91" workbookViewId="0">
      <selection activeCell="E19" sqref="E19"/>
    </sheetView>
  </sheetViews>
  <sheetFormatPr defaultRowHeight="15" x14ac:dyDescent="0.25"/>
  <cols>
    <col min="1" max="1" width="34.42578125" style="122" customWidth="1"/>
    <col min="2" max="2" width="0.5703125" customWidth="1"/>
    <col min="3" max="3" width="15.5703125" bestFit="1" customWidth="1"/>
    <col min="4" max="4" width="0.7109375" customWidth="1"/>
    <col min="5" max="5" width="15.5703125" style="31" bestFit="1" customWidth="1"/>
    <col min="6" max="6" width="0.85546875" customWidth="1"/>
    <col min="7" max="7" width="14.85546875" style="31" bestFit="1" customWidth="1"/>
    <col min="8" max="8" width="0.85546875" customWidth="1"/>
    <col min="9" max="9" width="14.85546875" style="31" bestFit="1" customWidth="1"/>
    <col min="10" max="10" width="0.7109375" customWidth="1"/>
    <col min="11" max="11" width="14.85546875" style="75" bestFit="1" customWidth="1"/>
    <col min="12" max="12" width="0.7109375" customWidth="1"/>
    <col min="13" max="13" width="16.42578125" bestFit="1" customWidth="1"/>
  </cols>
  <sheetData>
    <row r="1" spans="1:13" ht="15.75" x14ac:dyDescent="0.25">
      <c r="M1" s="93">
        <v>1</v>
      </c>
    </row>
    <row r="2" spans="1:13" ht="31.5" x14ac:dyDescent="0.5">
      <c r="C2" s="305" t="s">
        <v>204</v>
      </c>
      <c r="D2" s="305"/>
      <c r="E2" s="305"/>
      <c r="F2" s="305"/>
      <c r="G2" s="305"/>
      <c r="H2" s="305"/>
      <c r="I2" s="305"/>
      <c r="J2" s="305"/>
      <c r="K2" s="305"/>
    </row>
    <row r="3" spans="1:13" ht="31.5" x14ac:dyDescent="0.5">
      <c r="C3" s="305" t="s">
        <v>205</v>
      </c>
      <c r="D3" s="305"/>
      <c r="E3" s="305"/>
      <c r="F3" s="305"/>
      <c r="G3" s="305"/>
      <c r="H3" s="305"/>
      <c r="I3" s="305"/>
      <c r="J3" s="305"/>
      <c r="K3" s="305"/>
    </row>
    <row r="4" spans="1:13" s="3" customFormat="1" x14ac:dyDescent="0.25">
      <c r="A4" s="37"/>
      <c r="C4" s="3" t="s">
        <v>106</v>
      </c>
      <c r="E4" s="33" t="s">
        <v>107</v>
      </c>
      <c r="G4" s="33" t="s">
        <v>108</v>
      </c>
      <c r="I4" s="33" t="s">
        <v>109</v>
      </c>
      <c r="K4" s="3" t="s">
        <v>110</v>
      </c>
    </row>
    <row r="5" spans="1:13" s="3" customFormat="1" x14ac:dyDescent="0.25">
      <c r="A5" s="37"/>
      <c r="C5" s="3">
        <v>2015</v>
      </c>
      <c r="E5" s="33">
        <v>2015</v>
      </c>
      <c r="G5" s="33">
        <v>2015</v>
      </c>
      <c r="I5" s="33">
        <v>2015</v>
      </c>
      <c r="K5" s="3">
        <v>2015</v>
      </c>
    </row>
    <row r="6" spans="1:13" s="2" customFormat="1" x14ac:dyDescent="0.25">
      <c r="A6" s="123" t="s">
        <v>230</v>
      </c>
      <c r="B6" s="3"/>
      <c r="C6" s="1">
        <f>SUM(C15)</f>
        <v>67737.25</v>
      </c>
      <c r="D6" s="1"/>
      <c r="E6" s="1">
        <f>SUM(E15)</f>
        <v>280818.91000000003</v>
      </c>
      <c r="F6" s="1"/>
      <c r="G6" s="1">
        <f>SUM(G15)</f>
        <v>170363.81</v>
      </c>
      <c r="H6" s="1"/>
      <c r="I6" s="1">
        <f>SUM(I15)</f>
        <v>178000.63</v>
      </c>
      <c r="J6" s="1"/>
      <c r="K6" s="1">
        <f>SUM(K15)</f>
        <v>195313.04000000004</v>
      </c>
      <c r="M6" s="10">
        <f>SUM(C6:K6)</f>
        <v>892233.64000000013</v>
      </c>
    </row>
    <row r="7" spans="1:13" x14ac:dyDescent="0.25">
      <c r="A7" s="123" t="s">
        <v>231</v>
      </c>
      <c r="B7" s="3"/>
      <c r="C7" s="1">
        <f>SUM(C157)</f>
        <v>163049.38500000001</v>
      </c>
      <c r="D7" s="1"/>
      <c r="E7" s="1">
        <f>SUM(E157)</f>
        <v>266987.85000000003</v>
      </c>
      <c r="F7" s="1"/>
      <c r="G7" s="1">
        <f>SUM(G157)</f>
        <v>187754.40000000002</v>
      </c>
      <c r="H7" s="1"/>
      <c r="I7" s="1">
        <f>SUM(I157)</f>
        <v>192645.00999999998</v>
      </c>
      <c r="J7" s="1"/>
      <c r="K7" s="1">
        <f>SUM(K157)</f>
        <v>218442.97</v>
      </c>
      <c r="M7" s="10">
        <f>SUM(C7:K7)</f>
        <v>1028879.615</v>
      </c>
    </row>
    <row r="8" spans="1:13" s="35" customFormat="1" x14ac:dyDescent="0.25">
      <c r="A8" s="121"/>
      <c r="C8" s="82">
        <f>SUM(C6-C7)</f>
        <v>-95312.135000000009</v>
      </c>
      <c r="E8" s="82">
        <f>SUM(E6-E7)</f>
        <v>13831.059999999998</v>
      </c>
      <c r="G8" s="82">
        <f>SUM(G6-G7)</f>
        <v>-17390.590000000026</v>
      </c>
      <c r="I8" s="82">
        <f>SUM(I6-I7)</f>
        <v>-14644.379999999976</v>
      </c>
      <c r="K8" s="83">
        <f>SUM(K6-K7)</f>
        <v>-23129.929999999964</v>
      </c>
      <c r="M8" s="84">
        <f>SUM(C8:K8)</f>
        <v>-136645.97499999998</v>
      </c>
    </row>
    <row r="9" spans="1:13" s="35" customFormat="1" ht="21" x14ac:dyDescent="0.4">
      <c r="A9" s="124" t="s">
        <v>206</v>
      </c>
      <c r="C9" s="68"/>
      <c r="E9" s="68"/>
      <c r="G9" s="68"/>
      <c r="I9" s="68"/>
      <c r="K9" s="73"/>
      <c r="M9" s="71"/>
    </row>
    <row r="10" spans="1:13" s="35" customFormat="1" ht="16.5" x14ac:dyDescent="0.3">
      <c r="A10" s="125" t="s">
        <v>207</v>
      </c>
      <c r="C10" s="73">
        <f>46028.39</f>
        <v>46028.39</v>
      </c>
      <c r="D10" s="85"/>
      <c r="E10" s="73">
        <f>2495.13+41577.04+2495.13+17407.85</f>
        <v>63975.149999999994</v>
      </c>
      <c r="F10" s="85"/>
      <c r="G10" s="73">
        <f>2495.13+17407.85+46093.63</f>
        <v>65996.61</v>
      </c>
      <c r="H10" s="85"/>
      <c r="I10" s="73">
        <f>2495.13+17407.85+46120.82+6174.81</f>
        <v>72198.61</v>
      </c>
      <c r="J10" s="85"/>
      <c r="K10" s="73">
        <f>6174.81+2495.13+17407.85+39926.98</f>
        <v>66004.77</v>
      </c>
      <c r="L10" s="85"/>
      <c r="M10" s="86">
        <f>SUM(C10+E10+G10+I10+K10)</f>
        <v>314203.53000000003</v>
      </c>
    </row>
    <row r="11" spans="1:13" s="35" customFormat="1" ht="16.5" x14ac:dyDescent="0.3">
      <c r="A11" s="125" t="s">
        <v>208</v>
      </c>
      <c r="C11" s="73">
        <v>0</v>
      </c>
      <c r="D11" s="85"/>
      <c r="E11" s="73">
        <f>70250</f>
        <v>70250</v>
      </c>
      <c r="F11" s="85"/>
      <c r="G11" s="73">
        <f>70250</f>
        <v>70250</v>
      </c>
      <c r="H11" s="85"/>
      <c r="I11" s="73">
        <v>70250</v>
      </c>
      <c r="J11" s="85"/>
      <c r="K11" s="73">
        <f>70250</f>
        <v>70250</v>
      </c>
      <c r="L11" s="85"/>
      <c r="M11" s="86">
        <f t="shared" ref="M11:M14" si="0">SUM(C11+E11+G11+I11+K11)</f>
        <v>281000</v>
      </c>
    </row>
    <row r="12" spans="1:13" s="35" customFormat="1" ht="16.5" x14ac:dyDescent="0.3">
      <c r="A12" s="125" t="s">
        <v>209</v>
      </c>
      <c r="C12" s="73">
        <f>21708.86</f>
        <v>21708.86</v>
      </c>
      <c r="D12" s="85"/>
      <c r="E12" s="73">
        <f>48653.76</f>
        <v>48653.760000000002</v>
      </c>
      <c r="F12" s="85"/>
      <c r="G12" s="73">
        <f>25000+9117.2</f>
        <v>34117.199999999997</v>
      </c>
      <c r="H12" s="85"/>
      <c r="I12" s="73">
        <f>10552.02+25000</f>
        <v>35552.020000000004</v>
      </c>
      <c r="J12" s="85"/>
      <c r="K12" s="73">
        <f>25000+9058.27+25000</f>
        <v>59058.270000000004</v>
      </c>
      <c r="L12" s="85"/>
      <c r="M12" s="86">
        <f t="shared" si="0"/>
        <v>199090.11</v>
      </c>
    </row>
    <row r="13" spans="1:13" s="35" customFormat="1" ht="16.5" x14ac:dyDescent="0.3">
      <c r="A13" s="125" t="s">
        <v>232</v>
      </c>
      <c r="C13" s="73">
        <v>0</v>
      </c>
      <c r="D13" s="85"/>
      <c r="E13" s="73">
        <f>9500+85500</f>
        <v>95000</v>
      </c>
      <c r="F13" s="85"/>
      <c r="G13" s="73">
        <v>0</v>
      </c>
      <c r="H13" s="85"/>
      <c r="I13" s="73">
        <v>0</v>
      </c>
      <c r="J13" s="85"/>
      <c r="K13" s="73">
        <v>0</v>
      </c>
      <c r="L13" s="85"/>
      <c r="M13" s="86">
        <f t="shared" si="0"/>
        <v>95000</v>
      </c>
    </row>
    <row r="14" spans="1:13" s="35" customFormat="1" ht="16.5" x14ac:dyDescent="0.3">
      <c r="A14" s="125" t="s">
        <v>210</v>
      </c>
      <c r="C14" s="73">
        <v>0</v>
      </c>
      <c r="D14" s="85"/>
      <c r="E14" s="73">
        <f>2940</f>
        <v>2940</v>
      </c>
      <c r="F14" s="85"/>
      <c r="G14" s="73">
        <v>0</v>
      </c>
      <c r="H14" s="85"/>
      <c r="I14" s="73">
        <v>0</v>
      </c>
      <c r="J14" s="85"/>
      <c r="K14" s="73">
        <v>0</v>
      </c>
      <c r="L14" s="85"/>
      <c r="M14" s="86">
        <f t="shared" si="0"/>
        <v>2940</v>
      </c>
    </row>
    <row r="15" spans="1:13" s="35" customFormat="1" ht="21" x14ac:dyDescent="0.4">
      <c r="A15" s="126"/>
      <c r="C15" s="82">
        <f>SUM(C10:C14)</f>
        <v>67737.25</v>
      </c>
      <c r="E15" s="82">
        <f>SUM(E10:E14)</f>
        <v>280818.91000000003</v>
      </c>
      <c r="G15" s="82">
        <f>SUM(G10:G14)</f>
        <v>170363.81</v>
      </c>
      <c r="I15" s="82">
        <f>SUM(I10:I14)</f>
        <v>178000.63</v>
      </c>
      <c r="K15" s="82">
        <f>SUM(K10:K14)</f>
        <v>195313.04000000004</v>
      </c>
      <c r="M15" s="87">
        <f>SUM(M10:M14)</f>
        <v>892233.64</v>
      </c>
    </row>
    <row r="16" spans="1:13" s="8" customFormat="1" ht="21" x14ac:dyDescent="0.4">
      <c r="A16" s="124" t="s">
        <v>60</v>
      </c>
      <c r="C16" s="68"/>
      <c r="D16" s="35"/>
      <c r="E16" s="68"/>
      <c r="F16" s="35"/>
      <c r="G16" s="68"/>
      <c r="H16" s="35"/>
      <c r="I16" s="68"/>
      <c r="J16" s="35"/>
      <c r="K16" s="73"/>
      <c r="M16" s="10"/>
    </row>
    <row r="17" spans="1:13" ht="15.75" x14ac:dyDescent="0.3">
      <c r="A17" s="127" t="s">
        <v>111</v>
      </c>
      <c r="B17" s="32"/>
      <c r="C17" s="6"/>
      <c r="D17" s="31"/>
      <c r="E17" s="6"/>
      <c r="F17" s="31"/>
      <c r="G17" s="6"/>
      <c r="H17" s="31"/>
      <c r="I17" s="6"/>
      <c r="J17" s="31"/>
      <c r="K17" s="74"/>
      <c r="L17" s="31"/>
      <c r="M17" s="76"/>
    </row>
    <row r="18" spans="1:13" ht="15.75" x14ac:dyDescent="0.3">
      <c r="A18" s="128" t="s">
        <v>62</v>
      </c>
      <c r="B18" s="9"/>
      <c r="C18" s="1">
        <f>750+1212.9+1400+1212.9+1212.9+1212.9+724+750+724+1212.9+1300+1141.07+2150+2205.54+300+850+850+1332+4000+850+3045.5+1100+724+724+750+2470.2+724+1141.07+2100+900+1141.07+900+3045.5+1200+850+550</f>
        <v>46756.45</v>
      </c>
      <c r="E18" s="34">
        <f>1400+788+1200+850+788+1141.07+900+788+2470.2+550+1212.9+788+1141.07+788+3045.5+900+1100+2100+1212.9+1212.9+1212.9+1212.9+1212.9+788+788+788+1212.9+1300+1141.07+2205.54+850+1212.9+850+1332+4000+850+3045.5+640.9+494.52</f>
        <v>49514.570000000007</v>
      </c>
      <c r="G18" s="34">
        <f>1212.9+1212.9+788+788+788+1300+80.86+1141.07+2150+788.33+56.67+1212.9+850+1332+4000+1212.9+1141.07+2270+1400+1479+850+1100+1141.07+900+788+788+3045.5+788+2470.2+788+1200+550+1141.07</f>
        <v>40754.439999999995</v>
      </c>
      <c r="I18" s="34">
        <f>788+1212.9+1212.9+1141.07+1212.9+1212.9+850+788+788+900+1141.07+2078.33+788+1212.9+3045.5+793.33+1200+1212.9+850+1332+788+390+850+2842.47+788+2205.54+1400+1479+1132.04+366.67+1141.07+56.67</f>
        <v>37200.160000000003</v>
      </c>
      <c r="K18" s="60">
        <f>1212.9+788+1212.9+788+1212.9+2150+733.33+850+1212.9+850+793.33+1332+3045.5+203.03+1212.9+1141.07+1479+1141.07+850+1141.07+900+788+1200+2270+788+1837.95+900+788+1141.07+4000+1333.33+1300+433.33+2470.2+550+3045.5+1212.8</f>
        <v>48308.080000000009</v>
      </c>
      <c r="M18" s="11">
        <f>SUM(C18+E18+G18+I18+K18)</f>
        <v>222533.7</v>
      </c>
    </row>
    <row r="19" spans="1:13" ht="15.75" x14ac:dyDescent="0.3">
      <c r="A19" s="128" t="s">
        <v>166</v>
      </c>
      <c r="B19" s="9"/>
      <c r="C19" s="1">
        <f>700</f>
        <v>700</v>
      </c>
      <c r="E19" s="34">
        <f>1000+13.23</f>
        <v>1013.23</v>
      </c>
      <c r="G19" s="34">
        <f>1000+13.38+788</f>
        <v>1801.38</v>
      </c>
      <c r="I19" s="34">
        <f>1000+13.38</f>
        <v>1013.38</v>
      </c>
      <c r="K19" s="60">
        <f>266.67</f>
        <v>266.67</v>
      </c>
      <c r="M19" s="11">
        <f t="shared" ref="M19:M53" si="1">SUM(C19+E19+G19+I19+K19)</f>
        <v>4794.66</v>
      </c>
    </row>
    <row r="20" spans="1:13" ht="15.75" x14ac:dyDescent="0.3">
      <c r="A20" s="128" t="s">
        <v>173</v>
      </c>
      <c r="B20" s="9"/>
      <c r="C20" s="1">
        <f>24.66+49.32+24.66</f>
        <v>98.64</v>
      </c>
      <c r="E20" s="34">
        <f>26.2+26.2+52.4</f>
        <v>104.8</v>
      </c>
      <c r="G20" s="34">
        <f>52.4+26.2+26.2</f>
        <v>104.8</v>
      </c>
      <c r="I20" s="34">
        <f>26.2</f>
        <v>26.2</v>
      </c>
      <c r="K20" s="60">
        <f>26.2+26.2</f>
        <v>52.4</v>
      </c>
      <c r="M20" s="11">
        <f t="shared" si="1"/>
        <v>386.84</v>
      </c>
    </row>
    <row r="21" spans="1:13" ht="15.75" x14ac:dyDescent="0.3">
      <c r="A21" s="128" t="s">
        <v>167</v>
      </c>
      <c r="B21" s="9"/>
      <c r="C21" s="1">
        <f>9.16</f>
        <v>9.16</v>
      </c>
      <c r="E21" s="34">
        <v>0</v>
      </c>
      <c r="G21" s="34">
        <v>0</v>
      </c>
      <c r="I21" s="34">
        <v>0</v>
      </c>
      <c r="K21" s="60">
        <f>3.57</f>
        <v>3.57</v>
      </c>
      <c r="M21" s="11">
        <f t="shared" si="1"/>
        <v>12.73</v>
      </c>
    </row>
    <row r="22" spans="1:13" ht="15.75" x14ac:dyDescent="0.3">
      <c r="A22" s="128" t="s">
        <v>159</v>
      </c>
      <c r="B22" s="9"/>
      <c r="C22" s="1">
        <f>22.27+4.25+10.34+0.81+6.32+21.71+24.86+4.54+1.19+31.93+4.46+1.02+31.66+3.36+9.07+38.34+14.28+19.76</f>
        <v>250.17000000000002</v>
      </c>
      <c r="E22" s="34">
        <f>2.14+25.12+15.97+25.9+5.13+0.36+9.45+7.93+0.6+2.22+10.41+0.81+3.16+11.2+1.6+1.99+0.81+10+33.06+2.15</f>
        <v>170.01</v>
      </c>
      <c r="G22" s="34">
        <f>1.69+15.9+0.41+1.2+1.24+5.83+10.37+1.4+6.17+230+8.84+4.5+6.91+3.58+4.05+0.57</f>
        <v>302.65999999999997</v>
      </c>
      <c r="I22" s="34">
        <f>2.32+2.19+4.58+6.93+0.99+1.51+2.85+6.65+3.32+30.2+0.65+0.72+4.12+0.62+0.65+2.07+14.83</f>
        <v>85.2</v>
      </c>
      <c r="K22" s="60">
        <f>2.42+9.02+24.76+3.02+27.61+43.33+1.94+23.01+23.77+39.06+1.43+7.6+43.85+23.38+66.6+0.76+7.31</f>
        <v>348.87000000000006</v>
      </c>
      <c r="M22" s="11">
        <f t="shared" si="1"/>
        <v>1156.9100000000001</v>
      </c>
    </row>
    <row r="23" spans="1:13" ht="15.75" x14ac:dyDescent="0.3">
      <c r="A23" s="128" t="s">
        <v>164</v>
      </c>
      <c r="B23" s="9"/>
      <c r="C23" s="1">
        <f>80</f>
        <v>80</v>
      </c>
      <c r="E23" s="34">
        <f>80</f>
        <v>80</v>
      </c>
      <c r="G23" s="34">
        <f>80</f>
        <v>80</v>
      </c>
      <c r="I23" s="34">
        <f>80</f>
        <v>80</v>
      </c>
      <c r="K23" s="60">
        <f>80</f>
        <v>80</v>
      </c>
      <c r="M23" s="11">
        <f t="shared" si="1"/>
        <v>400</v>
      </c>
    </row>
    <row r="24" spans="1:13" ht="15.75" x14ac:dyDescent="0.3">
      <c r="A24" s="128" t="s">
        <v>157</v>
      </c>
      <c r="B24" s="9"/>
      <c r="C24" s="1">
        <f>17.88+53.76+14.52+11.85+121.82+23.61+9.52+3.02+23.2+102.76+35.54+40.39+17.47+44.67+4.07</f>
        <v>524.08000000000004</v>
      </c>
      <c r="E24" s="34">
        <f>11.12+12.72+18.57+17.51+1.88+14.76+41.24+3.62+11.54+4.77+4.23+16.41+35.52+8.31+10.33+4.21+52.02+21.26+7.89</f>
        <v>297.91000000000003</v>
      </c>
      <c r="G24" s="34">
        <f>3.26+2.45+7.21+7.46+30.32+3.26+31.76+36.31+3.42+53.04+27+41.48+16.41+13.42</f>
        <v>276.8</v>
      </c>
      <c r="I24" s="34">
        <f>12.08+7.85+20.6+34.58+22.61+26.2+9.04+5.16+17.24+96.37+25.79+3.38+4.52+16.91+3.21+3.38+10.77</f>
        <v>319.69</v>
      </c>
      <c r="K24" s="60">
        <f>9.66+3.67+110.45+3.26+5.7+26.98+20.63+3.03+29.23</f>
        <v>212.60999999999999</v>
      </c>
      <c r="M24" s="11">
        <f t="shared" si="1"/>
        <v>1631.09</v>
      </c>
    </row>
    <row r="25" spans="1:13" ht="15.75" x14ac:dyDescent="0.3">
      <c r="A25" s="128" t="s">
        <v>158</v>
      </c>
      <c r="B25" s="9"/>
      <c r="C25" s="1">
        <f>4.22+4.22+83.33+163+85.01+47.15+119.96+89.07</f>
        <v>595.95999999999992</v>
      </c>
      <c r="E25" s="34">
        <f>91.33+53.42+134.66+9.18+49.35+22.74+150.63</f>
        <v>511.31</v>
      </c>
      <c r="G25" s="34">
        <f>10.15+92.11+5.15+5.23+13.77+10.87+5.05</f>
        <v>142.33000000000001</v>
      </c>
      <c r="I25" s="34">
        <f>5.31+14.84+13.42+4.51+117.51</f>
        <v>155.59</v>
      </c>
      <c r="K25" s="60">
        <f>32.41+99.03+12.08+173.33+4.51+92.06+87.17+156.24+12.55+147.69+93.53+266.4</f>
        <v>1177</v>
      </c>
      <c r="M25" s="11">
        <f t="shared" si="1"/>
        <v>2582.1899999999996</v>
      </c>
    </row>
    <row r="26" spans="1:13" ht="15.75" x14ac:dyDescent="0.3">
      <c r="A26" s="128" t="s">
        <v>172</v>
      </c>
      <c r="B26" s="9"/>
      <c r="C26" s="1">
        <f>18.35+17.69+7.45+38.73+73.99</f>
        <v>156.20999999999998</v>
      </c>
      <c r="E26" s="34">
        <f>26.59+11.06+34.39</f>
        <v>72.039999999999992</v>
      </c>
      <c r="G26" s="34">
        <v>0</v>
      </c>
      <c r="I26" s="34">
        <f>13.75</f>
        <v>13.75</v>
      </c>
      <c r="K26" s="60">
        <f>7.08</f>
        <v>7.08</v>
      </c>
      <c r="M26" s="11">
        <f t="shared" si="1"/>
        <v>249.07999999999998</v>
      </c>
    </row>
    <row r="27" spans="1:13" ht="15.75" x14ac:dyDescent="0.3">
      <c r="A27" s="128" t="s">
        <v>160</v>
      </c>
      <c r="B27" s="9"/>
      <c r="C27" s="1">
        <f>0.55+0.71+0.37+0.66+4.04+0.02+1.55+0.75+1.56+0.33+0.35+0.57+9.52+0.035+0.73+8.22+0.97+0.97+1.46+0.13+0.82+0.81+0.77+0.08+0.74+0.95+1.46+0.81+0.21+0.3+0.04+0.02+0.92+0.69+0.89+0.67+0.44+0.03+0.1+0.8+0.44+0.11</f>
        <v>45.595000000000006</v>
      </c>
      <c r="E27" s="34">
        <f>0.45+0.43+0.22+0.48+0.23+0.16+0.84+0.14+0.71+0.41+0.84+0.27+0.37+0.84+0.51+0.15+0.36+0.46+0.46+0.24+0.89+0.64+0.59+0.38+0.11+0.57+0.72+0.8+0.45+0.38+0.82+0.1+0.82+0.92+0.59+0.31+0.26+0.9+0.9</f>
        <v>19.720000000000002</v>
      </c>
      <c r="G27" s="34">
        <f>0.07+0.18+0.45+0.75+0.68+0.22+0.16+0.75+0.76+0.04+0.11+0.92+0.94+0.76+0.08+0.62+0.47+0.25+0.75+0.67+0.73+0.35+0.5+0.89+0.83+0.94+0.59+0.65+0.94+0.02+0.36+0.22+0.24</f>
        <v>16.889999999999997</v>
      </c>
      <c r="I27" s="34">
        <f>0.76+0.36+0.32+0.12+0.76+0.64+0.13+0.58+0.01+0.66+0.45+0.77+0.31+0.5+0.68+0.46+0.35+0.65+0.48+0.76+0.57+0.13+0.31+0.58+0.03+0.67+0.22+0.95+0.48+0.19+0.42+0.67+0.83+0.35</f>
        <v>16.150000000000002</v>
      </c>
      <c r="K27" s="60">
        <f>0.26+0.37+0.73+0.09+0.13+0.45+0.87+0.17+0.27+0.73+0.05+0.79+0.46+0.93+0.49+0.59+0.11+0.08+0.08+0.51+0.88+0.22+0.67+0.91+0.19+0.76+0.53+0.59+0.64+0.23+0.4+0.73+0.21+0.83+0.19</f>
        <v>16.140000000000004</v>
      </c>
      <c r="M27" s="11">
        <f t="shared" si="1"/>
        <v>114.49500000000002</v>
      </c>
    </row>
    <row r="28" spans="1:13" ht="15.75" x14ac:dyDescent="0.3">
      <c r="A28" s="128" t="s">
        <v>155</v>
      </c>
      <c r="B28" s="9"/>
      <c r="C28" s="1">
        <f>72.77+72.77+72.77+72.77+68.46+182.73+182.73</f>
        <v>725</v>
      </c>
      <c r="E28" s="34">
        <f>68.46+148.21+72.77+182.73+72.77+72.77+72.77+68.46+132.33+72.77+182.73</f>
        <v>1146.77</v>
      </c>
      <c r="G28" s="34">
        <f>72.77+64.46+72.77+79.92+72.77+68.46+68.46+68.46+182.73+148.21</f>
        <v>899.01</v>
      </c>
      <c r="I28" s="34">
        <f>72.77+79.92+182.73+68.46+72.77+182.73+72.77+68.46+72.77</f>
        <v>873.37999999999988</v>
      </c>
      <c r="K28" s="60">
        <f>72.77+72.77+72.77+182.73+68.46+68.46+68.46+148.21+72.77+182.73</f>
        <v>1010.13</v>
      </c>
      <c r="M28" s="11">
        <f t="shared" si="1"/>
        <v>4654.29</v>
      </c>
    </row>
    <row r="29" spans="1:13" ht="15.75" x14ac:dyDescent="0.3">
      <c r="A29" s="128" t="s">
        <v>156</v>
      </c>
      <c r="B29" s="9"/>
      <c r="C29" s="1">
        <f>144.26+144.12+118.35+144.8+144.46+144.74+144.8+144.68+139.95+144.8+144.8+144.8+136.66+144.06+43.44+101.36+142.01+144.01+144+144.34+144.8+131.88+144.6+140.23+142.97+144.8+136.9+144.8+144.8+144.28+144.56+143.92+144.8+97.33+140.88</f>
        <v>4795.9900000000016</v>
      </c>
      <c r="E29" s="34">
        <f>137.46+136.72+144.8+144.8+137.74+236.4+135.07+144.8+236.4+231.37+143.31+235.98+143.81+236.4+144.8+141.71+236.4+228.85+143.23+236.4+228.52+236.4+144.39+144.8+139.92+226.39+143.99+235.15+234.3+143.05+235.28+131.16+218.11+144.8+143.54+236.4+144.8+57.92</f>
        <v>6765.37</v>
      </c>
      <c r="G29" s="34">
        <f>157.6+156.72+157.6+235.94+197.35+157.58+152.35+157.51+15.76+156.04+235.64+139.01+57.19+10.51+236.07+122.26+233.51+235.55+235.77+236.4+135.58+590.95+144.85+152.14+236.18+148.77+157.58+152.21+236.4+156.98+236.4+151.19+157.6</f>
        <v>5943.1900000000005</v>
      </c>
      <c r="I29" s="34">
        <f>157.6+236.4+229.83+590.69+220.09+50.5+157.6+235.91-157.06+68.25+155.78+10.51+220.64+157.6+236.1+145.81+157.42+152.24+157.6+236.4+232.63+234.82+236.03+157.6+145.39+236.4+220.47+146.62+141.55+235.78+157.57</f>
        <v>5564.77</v>
      </c>
      <c r="K29" s="60">
        <f>236.4+157.42+236.4+156.11+234.59+148.19+115.57+42.03+156.35+236.07+148.23+145.89+236.4+236.4+15.76+236.4+236.4+591.6+157.6+236.01+157.29+151.8+157.6+157.6+157.39+197+149.31+156.73+236.4+157.6+52.53+156.69+52.34+236.4+236.4+235.18</f>
        <v>6608.0800000000008</v>
      </c>
      <c r="M29" s="11">
        <f t="shared" si="1"/>
        <v>29677.400000000005</v>
      </c>
    </row>
    <row r="30" spans="1:13" ht="15.75" x14ac:dyDescent="0.3">
      <c r="A30" s="128" t="s">
        <v>199</v>
      </c>
      <c r="B30" s="9"/>
      <c r="C30" s="1">
        <v>0</v>
      </c>
      <c r="E30" s="34">
        <f>177.47</f>
        <v>177.47</v>
      </c>
      <c r="G30" s="34">
        <v>0</v>
      </c>
      <c r="I30" s="34">
        <v>0</v>
      </c>
      <c r="K30" s="60">
        <v>0</v>
      </c>
      <c r="M30" s="11">
        <f t="shared" si="1"/>
        <v>177.47</v>
      </c>
    </row>
    <row r="31" spans="1:13" ht="15.75" x14ac:dyDescent="0.3">
      <c r="A31" s="128" t="s">
        <v>162</v>
      </c>
      <c r="B31" s="9"/>
      <c r="C31" s="1">
        <f>80.77+91.2+29.89+3.54+2.27+18.21+118.39+83.48+97.83+135.36</f>
        <v>660.94</v>
      </c>
      <c r="E31" s="34">
        <f>2.58+97.78+101.12+56.7+20.85+135.36+91.35+63.25+134.09+132.77+33.87+130.59</f>
        <v>1000.3100000000001</v>
      </c>
      <c r="G31" s="34">
        <f>120.48+23.89+132.48+121.2+105.3+60.03+135.36</f>
        <v>698.74</v>
      </c>
      <c r="I31" s="34">
        <f>15.65+132.57+70+96.62+65.2+135.36+102.29+126.6+130.76+26.71</f>
        <v>901.7600000000001</v>
      </c>
      <c r="K31" s="60">
        <f>122.37+112.03+92.01+107.7+0.86+105.7+81.68+124.03+135.36</f>
        <v>881.74000000000012</v>
      </c>
      <c r="M31" s="11">
        <f t="shared" si="1"/>
        <v>4143.49</v>
      </c>
    </row>
    <row r="32" spans="1:13" ht="15.75" x14ac:dyDescent="0.3">
      <c r="A32" s="128" t="s">
        <v>165</v>
      </c>
      <c r="B32" s="9"/>
      <c r="C32" s="1">
        <f>800+400+400+300+1000+300+600</f>
        <v>3800</v>
      </c>
      <c r="E32" s="34">
        <f>50+900+900+400+300+100+1000+300</f>
        <v>3950</v>
      </c>
      <c r="G32" s="34">
        <f>1000+1000+400+146.63+900+400</f>
        <v>3846.63</v>
      </c>
      <c r="I32" s="34">
        <f>900+200+400+222+300+500+500+100+400+800</f>
        <v>4322</v>
      </c>
      <c r="K32" s="60">
        <f>500+300+300+1000+1000+1000+1000</f>
        <v>5100</v>
      </c>
      <c r="M32" s="11">
        <f t="shared" si="1"/>
        <v>21018.63</v>
      </c>
    </row>
    <row r="33" spans="1:13" ht="15.75" x14ac:dyDescent="0.3">
      <c r="A33" s="128" t="s">
        <v>211</v>
      </c>
      <c r="B33" s="9"/>
      <c r="C33" s="1">
        <f>-15.76-47.47-50.58-365.09-115.27-87.5-15.76-133.34</f>
        <v>-830.77</v>
      </c>
      <c r="E33" s="34">
        <f>-119.51-145.57-13.84-21.88-21.9-68.41-358.32-127.5</f>
        <v>-876.92999999999984</v>
      </c>
      <c r="G33" s="34">
        <f>-361.2-42.08-29.56-33.22-13.51-145.57-119.51</f>
        <v>-744.64999999999986</v>
      </c>
      <c r="I33" s="34">
        <f>-66.48-98.23-56.59-38.38</f>
        <v>-259.68</v>
      </c>
      <c r="K33" s="60">
        <f>-44.63-107.73-56.18-19.24-361.2-99.74-145.57-125.8</f>
        <v>-960.08999999999992</v>
      </c>
      <c r="M33" s="11">
        <f t="shared" si="1"/>
        <v>-3672.119999999999</v>
      </c>
    </row>
    <row r="34" spans="1:13" ht="15.75" x14ac:dyDescent="0.3">
      <c r="A34" s="128" t="s">
        <v>212</v>
      </c>
      <c r="B34" s="9"/>
      <c r="C34" s="1">
        <f>-80.22-137.8-0.08-119.4-13.52-128.74-0.14-137.11-0.14-124.82-69.5-0.33-74.66-77.94-0.76-135.94-0.74-246.92-121.88-299.18-304.31-93.18-0.47-132.62-79.43-0.52-0.16-130.45-482.92-118.73-371.03-167.06-69.4-74.57-89.69-348.15-71.66-132.54-246.92-89.96-104.36-119.93-385.92-72.31-77.83</f>
        <v>-5533.94</v>
      </c>
      <c r="E34" s="34">
        <f>-133.17-82.92-107.58-79.58-79.11-130.13-98.63-74.62-374.52-146.17-78.03-128.85-80.47-395.99-90.89-195.06-257-138.89-140.72-136.98-138.03-133.48-74.41-79.78-72.1-132.56-257.03-131.24-332.42-92.64-103.41-158.23-72.49-135.81-513.01-134.19-381.1-119.83</f>
        <v>-6011.07</v>
      </c>
      <c r="G34" s="34">
        <f>-93.67-75.22-148.64-107.6-75.63-73.12-75.83-14.12-269.67-130.51-290.3-83.33-6.74+149.61-62.53-150.5-513.01-72.57-374.52-75.66-395.99-73.05-75.63-133.8-132.27-194.61-76.6-57.76-126.16-275.7-140.72-147.42</f>
        <v>-4373.2700000000004</v>
      </c>
      <c r="I34" s="34">
        <f>-93.67-71.05-140.04-138.36-374.93-128.63-106.25-80.6-151.92-75.88-60.02-104.52-45.37-357.04-75.64-314.21-133.4-148.86-140.66-284.26-85.35-134.42-395.99-156.23-108.6-148.28-141.04-147.03-132.84-80.6-74.1-75.56</f>
        <v>-4705.3500000000013</v>
      </c>
      <c r="K34" s="60">
        <f>-138.07-79.16-147.99-84.83-137.99-308.87-92.89-136.46-147.76-85.02-107.49-141.15-381.1-17.5-138.71-139.82-374.76-81.17-134.16-90.97-90.47-108.6-267.03-84.89-183.14-129.65-75.53-130.13-513.01-262.44-269.41-29.4-133.56-374.52-395.99-150.76</f>
        <v>-6164.4</v>
      </c>
      <c r="M34" s="11">
        <f t="shared" si="1"/>
        <v>-26788.03</v>
      </c>
    </row>
    <row r="35" spans="1:13" ht="15.75" x14ac:dyDescent="0.3">
      <c r="A35" s="128" t="s">
        <v>63</v>
      </c>
      <c r="B35" s="9"/>
      <c r="C35" s="1">
        <f>-368.32-366.76-258.54-668.43-504.73-311.87-1000.25-153.69</f>
        <v>-3632.5899999999997</v>
      </c>
      <c r="E35" s="34">
        <f>-362.15-362.15-368.32-366.76-258.54-504.73-1000.25</f>
        <v>-3222.8999999999996</v>
      </c>
      <c r="G35" s="34">
        <f>-1000.25-366.76-258.54-668.43-635.01-362.15-153.69</f>
        <v>-3444.83</v>
      </c>
      <c r="I35" s="34">
        <f>-368.32-362.15-153.69-504.73-701.85</f>
        <v>-2090.7400000000002</v>
      </c>
      <c r="K35" s="60">
        <f>-668.43-311.87-362.15-1000.25-1000.25</f>
        <v>-3342.95</v>
      </c>
      <c r="M35" s="11">
        <f t="shared" si="1"/>
        <v>-15734.009999999998</v>
      </c>
    </row>
    <row r="36" spans="1:13" ht="15.75" x14ac:dyDescent="0.3">
      <c r="A36" s="128" t="s">
        <v>118</v>
      </c>
      <c r="B36" s="9"/>
      <c r="C36" s="1">
        <f>-499.78-253.43-125.99</f>
        <v>-879.2</v>
      </c>
      <c r="E36" s="34">
        <f>-1.99-403.3</f>
        <v>-405.29</v>
      </c>
      <c r="G36" s="34">
        <f>-51.98-1.99</f>
        <v>-53.97</v>
      </c>
      <c r="I36" s="34">
        <f>-321.23-1.99-1.99-1.99-274.84</f>
        <v>-602.04</v>
      </c>
      <c r="K36" s="60">
        <f>-368.32-190.1-580.16-457.53-479.35</f>
        <v>-2075.46</v>
      </c>
      <c r="M36" s="11">
        <f t="shared" si="1"/>
        <v>-4015.96</v>
      </c>
    </row>
    <row r="37" spans="1:13" ht="15.75" x14ac:dyDescent="0.3">
      <c r="A37" s="128" t="s">
        <v>87</v>
      </c>
      <c r="B37" s="9"/>
      <c r="C37" s="1">
        <f>-24.26-24.26-24.26-22.82-44.11-26.64-60.91-22.82</f>
        <v>-250.07999999999996</v>
      </c>
      <c r="E37" s="34">
        <f>-22.82-24.26-24.26-24.16-24.26-22.82-44.11-24.26-26.64-60.91</f>
        <v>-298.5</v>
      </c>
      <c r="G37" s="34">
        <f>-24.26-24.26-22.82-24.26-26.64-24.26-22.82</f>
        <v>-169.32</v>
      </c>
      <c r="I37" s="34">
        <f>-49.4-24.26-24.26-24.26-22.82-26.64-60.91-44.11-22.82</f>
        <v>-299.47999999999996</v>
      </c>
      <c r="K37" s="60">
        <f>-24.26-24.26-24.26-24.26-26.64-60.91-56.85-24.26-22.82-22.82-22.82-22.82-49.4-24.26-22.82-24.26</f>
        <v>-477.71999999999991</v>
      </c>
      <c r="M37" s="11">
        <f t="shared" si="1"/>
        <v>-1495.1</v>
      </c>
    </row>
    <row r="38" spans="1:13" ht="15.75" x14ac:dyDescent="0.3">
      <c r="A38" s="128" t="s">
        <v>171</v>
      </c>
      <c r="B38" s="9"/>
      <c r="C38" s="1">
        <v>0</v>
      </c>
      <c r="E38" s="34">
        <v>0</v>
      </c>
      <c r="G38" s="34">
        <v>0</v>
      </c>
      <c r="I38" s="34">
        <f>-82.34-26.27-40.43-36.67-40.43-49.3-28.33-44.4-26.27-30-28.33-101.52-26.27-73.52-46.67-30-38.04-71.67-26.67-40.43</f>
        <v>-887.55999999999972</v>
      </c>
      <c r="K38" s="60">
        <f>-38.04-133.33-43.33-101.52-28.33-40-40.43-38.04-26.27-26.27-28.33-40.43-40.43</f>
        <v>-624.74999999999989</v>
      </c>
      <c r="M38" s="11">
        <f t="shared" si="1"/>
        <v>-1512.3099999999995</v>
      </c>
    </row>
    <row r="39" spans="1:13" ht="15.75" x14ac:dyDescent="0.3">
      <c r="A39" s="128" t="s">
        <v>163</v>
      </c>
      <c r="B39" s="9"/>
      <c r="C39" s="1">
        <f>-0.17-0.62-0.75-0.2-0.48-0.55-0.52-0.29-0.31-0.76-0.28-0.19-0.31-0.25-0.4-0.38-0.17-1.18-0.27-0.43-0.05-0.21-0.77-0.01-0.92-0.54-0.66-0.21-0.35-0.16-0.69-0.79-0.4-0.7-0.04-0.44-0.99-0.95-0.51-0.1-0.52-0.35-0.58-0.3-0.49-0.23-0.48-0.6-0.63-0.52-0.4-0.93-0.64-0.31-0.04-0.75-0.38-0.77-0.72-0.96-0.65-0.36-0.62-0.19-0.81-0.34-0.94-0.27-0.75-0.24-0.64-0.91-0.7-0.06-0.61</f>
        <v>-36.69</v>
      </c>
      <c r="E39" s="34">
        <f>0.02-0.04-0.44-0.7-0.37-0.66-0.03-0.44-0.02-0.92-0.71-0.89-0.69-0.8-0.1-0.3-0.67-0.71-0.65-0.46-0.75-0.46-0.33-0.35-0.57-0.35-0.73-0.97-0.37-0.81-0.77-0.08-0.74-1.46-0.52-0.81-0.21-0.38-0.9-0.6-0.05</f>
        <v>-21.79</v>
      </c>
      <c r="G39" s="34">
        <f>-0.38-0.27-0.89-0.64-0.59-0.38-0.11-0.57-0.72-0.8-0.13-0.82-0.1-0.82-0.92-0.59-0.76-0.22-0.14-0.41-0.37-0.84-0.43-0.84-0.23-0.51-0.48-0.9-0.45-0.15-0.84-0.46</f>
        <v>-16.760000000000002</v>
      </c>
      <c r="I39" s="34">
        <f>-0.07-0.36-0.24-0.25-0.18-0.35-0.11-0.89-0.68-0.75-0.02-0.31-0.46-0.24-0.73-0.31-0.94-0.94-0.47-0.65-0.36-0.94</f>
        <v>-10.25</v>
      </c>
      <c r="K39" s="60">
        <f>-0.76-0.83-0.19-0.35-0.13-0.13-0.76-0.67-0.95-0.01-0.5-0.66-0.68-0.26-12-0.48-0.64-0.67-0.83-0.76-0.31-0.22-0.45-0.62-0.77-0.35-0.57-0.45-0.64-0.92-0.4-0.36-0.08-0.22-0.75-0.22-0.16-0.5-0.75-0.04-0.58-0.03</f>
        <v>-31.649999999999995</v>
      </c>
      <c r="M39" s="11">
        <f t="shared" si="1"/>
        <v>-117.13999999999999</v>
      </c>
    </row>
    <row r="40" spans="1:13" ht="15.75" x14ac:dyDescent="0.3">
      <c r="A40" s="128" t="s">
        <v>161</v>
      </c>
      <c r="B40" s="9"/>
      <c r="C40" s="1">
        <f>-2.8-5.73-255.78-2.83-0.54-0.61-24.25-120.89-11.27-16.39-4.64-44.4-2.69-98.15-0.99-22.87-9.48-39.49-3.25-1.9-5.44-393.44-22.99</f>
        <v>-1090.82</v>
      </c>
      <c r="E40" s="34">
        <f>70.98-43.95-38.4-60.5-25.81-8.13-2.03-5.37-23.5-38.75-13.14-40.43-2.22-26.58-51.35-7.27-6.02-19.6-10.29-5.73-80.05-103.08-7.41-49.34</f>
        <v>-597.97000000000014</v>
      </c>
      <c r="G40" s="34">
        <f>-4.41-2.36-200.33-0.11-26.25-0.47-0.57-12.88-3.68-86-8.11-1.68+190.59-16.28-4.38-3.04-195.58-1.61-68.77-38.1-1.08-50.44-0.11-26.97-3.12-32.06</f>
        <v>-597.80000000000018</v>
      </c>
      <c r="I40" s="34">
        <f>-60.89-33.69-2.83-14.15-2.29-104.72-2.82-9.82-2.69-2.74-0.15-2.98+147.37-54.91-81.74-9.21-1.89-7.61-19.34-26.79-0.9</f>
        <v>-294.78999999999996</v>
      </c>
      <c r="K40" s="60">
        <f>-0.9-7.45-9.3-128.32-6.75-1.68-50.54-6.47-1.9-0.08-1.75-29.01-1.07-47.35-4.37-7.5-1.6-6.27</f>
        <v>-312.31</v>
      </c>
      <c r="M40" s="11">
        <f t="shared" si="1"/>
        <v>-2893.69</v>
      </c>
    </row>
    <row r="41" spans="1:13" ht="15.75" x14ac:dyDescent="0.3">
      <c r="A41" s="128" t="s">
        <v>181</v>
      </c>
      <c r="B41" s="9"/>
      <c r="C41" s="1">
        <f>2000</f>
        <v>2000</v>
      </c>
      <c r="E41" s="34">
        <f>2000</f>
        <v>2000</v>
      </c>
      <c r="G41" s="34">
        <v>0</v>
      </c>
      <c r="I41" s="34">
        <v>0</v>
      </c>
      <c r="K41" s="60">
        <v>0</v>
      </c>
      <c r="M41" s="11">
        <f t="shared" si="1"/>
        <v>4000</v>
      </c>
    </row>
    <row r="42" spans="1:13" ht="15.75" x14ac:dyDescent="0.3">
      <c r="A42" s="128" t="s">
        <v>65</v>
      </c>
      <c r="B42" s="9"/>
      <c r="C42" s="1">
        <f>4000+2000+1522.75+3045.5+1750+787.5+606.45+252.69+850+425+66.66+0.12+14.3+25+25+15.22</f>
        <v>15386.19</v>
      </c>
      <c r="E42" s="34">
        <v>0</v>
      </c>
      <c r="G42" s="34">
        <v>0</v>
      </c>
      <c r="I42" s="34">
        <v>0</v>
      </c>
      <c r="K42" s="60">
        <v>0</v>
      </c>
      <c r="M42" s="11">
        <f t="shared" si="1"/>
        <v>15386.19</v>
      </c>
    </row>
    <row r="43" spans="1:13" ht="15.75" x14ac:dyDescent="0.3">
      <c r="A43" s="128" t="s">
        <v>186</v>
      </c>
      <c r="B43" s="9"/>
      <c r="C43" s="1">
        <f>-2193.24-1776.34-898.18-342.98-514.56</f>
        <v>-5725.2999999999993</v>
      </c>
      <c r="E43" s="34">
        <v>0</v>
      </c>
      <c r="G43" s="34">
        <v>0</v>
      </c>
      <c r="I43" s="34">
        <v>0</v>
      </c>
      <c r="K43" s="60">
        <v>0</v>
      </c>
      <c r="M43" s="11">
        <f t="shared" si="1"/>
        <v>-5725.2999999999993</v>
      </c>
    </row>
    <row r="44" spans="1:13" ht="16.5" x14ac:dyDescent="0.3">
      <c r="A44" s="106" t="s">
        <v>185</v>
      </c>
      <c r="B44" s="9"/>
      <c r="C44" s="1">
        <f>-213.22-141.2-1.19-4.56-0.05-18.75-2.04-0.44</f>
        <v>-381.45</v>
      </c>
      <c r="E44" s="34">
        <f>-715.85</f>
        <v>-715.85</v>
      </c>
      <c r="G44" s="34">
        <v>0</v>
      </c>
      <c r="I44" s="34">
        <v>0</v>
      </c>
      <c r="K44" s="60">
        <v>0</v>
      </c>
      <c r="M44" s="11">
        <f t="shared" si="1"/>
        <v>-1097.3</v>
      </c>
    </row>
    <row r="45" spans="1:13" ht="15.75" x14ac:dyDescent="0.3">
      <c r="A45" s="128" t="s">
        <v>193</v>
      </c>
      <c r="B45" s="9"/>
      <c r="C45" s="1">
        <f>-482.92-392.39-178.37-64.93-82.35-6.01-0.13-0.09-3.14-2-1.67-2.29-0.27-0.76-0.41-0.13-0.07-1.3-0.36</f>
        <v>-1219.5899999999999</v>
      </c>
      <c r="E45" s="34">
        <f>-0.54-0.79-470.75-266.7-26.63</f>
        <v>-765.41</v>
      </c>
      <c r="G45" s="34">
        <v>0</v>
      </c>
      <c r="I45" s="34">
        <v>0</v>
      </c>
      <c r="K45" s="60">
        <v>0</v>
      </c>
      <c r="M45" s="11">
        <f t="shared" si="1"/>
        <v>-1985</v>
      </c>
    </row>
    <row r="46" spans="1:13" ht="15.75" x14ac:dyDescent="0.3">
      <c r="A46" s="128" t="s">
        <v>64</v>
      </c>
      <c r="B46" s="9"/>
      <c r="C46" s="1">
        <v>0</v>
      </c>
      <c r="E46" s="34">
        <f>1558.96</f>
        <v>1558.96</v>
      </c>
      <c r="G46" s="34">
        <f>5716.11+1853.65</f>
        <v>7569.76</v>
      </c>
      <c r="I46" s="34">
        <f>1609.34</f>
        <v>1609.34</v>
      </c>
      <c r="K46" s="60">
        <f>3808.4+3162.31+2251.18+712.79</f>
        <v>9934.68</v>
      </c>
      <c r="M46" s="11">
        <f t="shared" si="1"/>
        <v>20672.740000000002</v>
      </c>
    </row>
    <row r="47" spans="1:13" ht="15.75" x14ac:dyDescent="0.3">
      <c r="A47" s="128" t="s">
        <v>151</v>
      </c>
      <c r="B47" s="9"/>
      <c r="C47" s="1">
        <v>0</v>
      </c>
      <c r="E47" s="34">
        <v>0</v>
      </c>
      <c r="G47" s="34">
        <f>5750.23+842.6</f>
        <v>6592.83</v>
      </c>
      <c r="I47" s="34">
        <f>1113.09</f>
        <v>1113.0899999999999</v>
      </c>
      <c r="K47" s="60">
        <f>564.22+1092.37+1173.39+3398.24</f>
        <v>6228.2199999999993</v>
      </c>
      <c r="M47" s="11">
        <f t="shared" si="1"/>
        <v>13934.14</v>
      </c>
    </row>
    <row r="48" spans="1:13" ht="15.75" x14ac:dyDescent="0.3">
      <c r="A48" s="128" t="s">
        <v>170</v>
      </c>
      <c r="B48" s="9"/>
      <c r="C48" s="1">
        <f>1471.03+3092.96+1212.9+121.59+132.51+1955.66+850</f>
        <v>8836.65</v>
      </c>
      <c r="E48" s="34">
        <f>2684.96+1212.9+1891.67+157.87+1479+838.1</f>
        <v>8264.5</v>
      </c>
      <c r="G48" s="34">
        <f>1425.37+1565.74+1553.88+3803.62+1132.04+1361.67+793.33+2180.85</f>
        <v>13816.500000000002</v>
      </c>
      <c r="I48" s="34">
        <f>3615.64+2470.2+2876.61+5721.27+1748.71+80.86+733.33-793.33+203.03+71.67+56.67</f>
        <v>16784.659999999996</v>
      </c>
      <c r="K48" s="60">
        <v>0</v>
      </c>
      <c r="M48" s="11">
        <f t="shared" si="1"/>
        <v>47702.31</v>
      </c>
    </row>
    <row r="49" spans="1:13" ht="15.75" x14ac:dyDescent="0.3">
      <c r="A49" s="128" t="s">
        <v>169</v>
      </c>
      <c r="B49" s="9"/>
      <c r="C49" s="1">
        <f>-1176.46-1955.66-1249.01</f>
        <v>-4381.13</v>
      </c>
      <c r="E49" s="34">
        <f>-1471.03-3092.96-157.87</f>
        <v>-4721.8599999999997</v>
      </c>
      <c r="G49" s="34">
        <f>-1461.36-1765.55-1395.09</f>
        <v>-4622</v>
      </c>
      <c r="I49" s="34">
        <f>-3615.64-126.12-1435.78-1450.28-253.57-1289.87</f>
        <v>-8171.2599999999993</v>
      </c>
      <c r="K49" s="60">
        <f>-3550.05-1748.71-5721.27-1958.54-104.38</f>
        <v>-13082.949999999999</v>
      </c>
      <c r="M49" s="11">
        <f t="shared" si="1"/>
        <v>-34979.199999999997</v>
      </c>
    </row>
    <row r="50" spans="1:13" x14ac:dyDescent="0.25">
      <c r="A50" s="129" t="s">
        <v>229</v>
      </c>
      <c r="B50" s="9"/>
      <c r="C50" s="1">
        <f>319.69+144.8+64.27+750+144.8+325+120.84+72.4+0.76+0.58+99.69+81.5+72.4+0.66+210.65+166.28+144.8+0.7+7.43+103.89+120.67+0.75+3.79+52.59+54.3+0.82+46.47+86.39+72.4+0.2+18.92+41.2+30.17+0.02+0.44+72.4+8.01+9.15+0.51+144.8+16.01+18.59+1.39+2.76+2.62+2.85+0.35+537.27+144.8+16.01+18.59+144.8+343.13+83.33+0.45+25+3.35+9.44+5.12+1.46+0.86+16.21+3.29</f>
        <v>4992.8200000000015</v>
      </c>
      <c r="E50" s="34">
        <f>4.49+1.55+503.62+144.8+97.18+55.98+1069.89+747.57+52.3+930.8+606.14+423.62+28.72+527.99</f>
        <v>5194.6500000000005</v>
      </c>
      <c r="G50" s="34">
        <f>96.05+6.39+220.64+485.04+577.81+91.71+26.71+253.33+8.1+0.13+2.74+401.47+135.15+85.37+190.56+11.94+0.92+4.29</f>
        <v>2598.35</v>
      </c>
      <c r="I50" s="34">
        <f>1139.69+236.4+32.11+680.37+6.86+0.46+15.76+34.65+388.89+14.49+105.07+413.93+19.44+0.72+5.25+36.67+20.69+194.44+60.42+147.09+398.43+10.39+6.89+15.76+78.69+304.11+0.07+4.28+1.45+0.14+0.42+13.33+1.41+4.83+30.41+133.34+14.06+48.26+716.67+28.68+9.65+6.1+13.61+0.86+0.06+0.3</f>
        <v>5395.6</v>
      </c>
      <c r="K50" s="60">
        <f>56.67+13.89+4.32+10.51+28.46+1101.68+220.64+96.52+145.42+2842.47+1141.07+51.35+12.42+236.4+480.41+2666.67+411.11+105.07+1060.95+216.24+530.47+1333.33+52.53+205.56+25.5+43.33+5.25+0.14+27.78+510.04+105.07+2.82+555.55+866.67+0.94</f>
        <v>15167.25</v>
      </c>
      <c r="M50" s="11">
        <f t="shared" si="1"/>
        <v>33348.67</v>
      </c>
    </row>
    <row r="51" spans="1:13" ht="16.5" x14ac:dyDescent="0.3">
      <c r="A51" s="106" t="s">
        <v>168</v>
      </c>
      <c r="B51" s="9"/>
      <c r="C51" s="1">
        <v>0</v>
      </c>
      <c r="E51" s="34">
        <v>0</v>
      </c>
      <c r="G51" s="34">
        <f>-26.9-0.82</f>
        <v>-27.72</v>
      </c>
      <c r="I51" s="34">
        <f>-309.93-22.93-1.42</f>
        <v>-334.28000000000003</v>
      </c>
      <c r="K51" s="60">
        <f>-321.02-172.94-177.61</f>
        <v>-671.56999999999994</v>
      </c>
      <c r="M51" s="11">
        <f t="shared" si="1"/>
        <v>-1033.57</v>
      </c>
    </row>
    <row r="52" spans="1:13" ht="15.75" x14ac:dyDescent="0.3">
      <c r="A52" s="128" t="s">
        <v>66</v>
      </c>
      <c r="B52" s="9"/>
      <c r="C52" s="1">
        <f>-102.3-193.41-123.52</f>
        <v>-419.22999999999996</v>
      </c>
      <c r="E52" s="34">
        <f>-181.3</f>
        <v>-181.3</v>
      </c>
      <c r="G52" s="34">
        <f>-144.52-0.85-174.61-1.78-254.23-31.26</f>
        <v>-607.25</v>
      </c>
      <c r="I52" s="34">
        <f>-501.46-149.01-72.97-12.47-143.43-5.68-0.42-34.2-13.38</f>
        <v>-933.0200000000001</v>
      </c>
      <c r="K52" s="60">
        <f>-13.43-10.25-103.6-12.49-478.81-466.81-183.61-70.49-10.33</f>
        <v>-1349.82</v>
      </c>
      <c r="M52" s="11">
        <f t="shared" si="1"/>
        <v>-3490.62</v>
      </c>
    </row>
    <row r="53" spans="1:13" ht="15.75" x14ac:dyDescent="0.3">
      <c r="A53" s="128" t="s">
        <v>198</v>
      </c>
      <c r="B53" s="9"/>
      <c r="C53" s="1">
        <v>0</v>
      </c>
      <c r="E53" s="34">
        <f>-2000</f>
        <v>-2000</v>
      </c>
      <c r="G53" s="34">
        <v>0</v>
      </c>
      <c r="I53" s="34">
        <v>0</v>
      </c>
      <c r="K53" s="60">
        <v>0</v>
      </c>
      <c r="M53" s="11">
        <f t="shared" si="1"/>
        <v>-2000</v>
      </c>
    </row>
    <row r="54" spans="1:13" s="32" customFormat="1" ht="15.75" x14ac:dyDescent="0.3">
      <c r="A54" s="118" t="s">
        <v>32</v>
      </c>
      <c r="C54" s="81">
        <f>SUM(C18:C53)</f>
        <v>66033.065000000017</v>
      </c>
      <c r="E54" s="81">
        <f>SUM(E18:E53)</f>
        <v>62022.750000000007</v>
      </c>
      <c r="G54" s="81">
        <f>SUM(G18:G53)</f>
        <v>70786.740000000005</v>
      </c>
      <c r="I54" s="81">
        <f>SUM(I18:I53)</f>
        <v>56886.269999999982</v>
      </c>
      <c r="K54" s="81">
        <f>SUM(K18:K53)</f>
        <v>66308.850000000006</v>
      </c>
      <c r="M54" s="79">
        <f>SUM(C54+E54+G54+I54+K54)</f>
        <v>322037.67500000005</v>
      </c>
    </row>
    <row r="55" spans="1:13" ht="15.75" x14ac:dyDescent="0.3">
      <c r="A55" s="127" t="s">
        <v>174</v>
      </c>
      <c r="B55" s="9"/>
      <c r="C55" s="1"/>
      <c r="E55" s="34"/>
      <c r="G55" s="34"/>
      <c r="I55" s="34"/>
      <c r="K55" s="60"/>
      <c r="M55" s="76"/>
    </row>
    <row r="56" spans="1:13" ht="15.75" x14ac:dyDescent="0.3">
      <c r="A56" s="130" t="s">
        <v>175</v>
      </c>
      <c r="B56" s="9"/>
      <c r="C56" s="1">
        <f>2400</f>
        <v>2400</v>
      </c>
      <c r="E56" s="34">
        <f>1000+2400</f>
        <v>3400</v>
      </c>
      <c r="G56" s="34">
        <v>2400</v>
      </c>
      <c r="I56" s="34">
        <f>2400</f>
        <v>2400</v>
      </c>
      <c r="K56" s="60">
        <f>2400</f>
        <v>2400</v>
      </c>
      <c r="M56" s="11">
        <f>SUM(C56+E56+G56+I56+K56)</f>
        <v>13000</v>
      </c>
    </row>
    <row r="57" spans="1:13" ht="15.75" x14ac:dyDescent="0.3">
      <c r="A57" s="130" t="s">
        <v>73</v>
      </c>
      <c r="B57" s="9"/>
      <c r="C57" s="1">
        <f>724</f>
        <v>724</v>
      </c>
      <c r="E57" s="34">
        <f>788</f>
        <v>788</v>
      </c>
      <c r="G57" s="34">
        <f>788</f>
        <v>788</v>
      </c>
      <c r="I57" s="34">
        <f>788</f>
        <v>788</v>
      </c>
      <c r="K57" s="60">
        <f>788</f>
        <v>788</v>
      </c>
      <c r="M57" s="11">
        <f>SUM(C57+E57+G57+I57+K57)</f>
        <v>3876</v>
      </c>
    </row>
    <row r="58" spans="1:13" ht="15.75" x14ac:dyDescent="0.3">
      <c r="A58" s="130"/>
      <c r="B58" s="9"/>
      <c r="C58" s="1"/>
      <c r="E58" s="34"/>
      <c r="G58" s="34"/>
      <c r="I58" s="34"/>
      <c r="K58" s="60"/>
      <c r="M58" s="76"/>
    </row>
    <row r="59" spans="1:13" s="32" customFormat="1" ht="15.75" x14ac:dyDescent="0.3">
      <c r="A59" s="118" t="s">
        <v>32</v>
      </c>
      <c r="C59" s="81">
        <f>SUM(C56:C58)</f>
        <v>3124</v>
      </c>
      <c r="E59" s="81">
        <f>SUM(E56:E58)</f>
        <v>4188</v>
      </c>
      <c r="G59" s="81">
        <f>SUM(G56:G58)</f>
        <v>3188</v>
      </c>
      <c r="I59" s="81">
        <f>SUM(I56:I58)</f>
        <v>3188</v>
      </c>
      <c r="K59" s="81">
        <f>SUM(K56:K57)</f>
        <v>3188</v>
      </c>
      <c r="M59" s="79">
        <f>SUM(M56:M58)</f>
        <v>16876</v>
      </c>
    </row>
    <row r="60" spans="1:13" s="32" customFormat="1" ht="18" x14ac:dyDescent="0.35">
      <c r="A60" s="131" t="s">
        <v>213</v>
      </c>
      <c r="B60" s="9"/>
      <c r="C60" s="69"/>
      <c r="E60" s="69"/>
      <c r="G60" s="69"/>
      <c r="I60" s="69"/>
      <c r="K60" s="69"/>
      <c r="M60" s="76"/>
    </row>
    <row r="61" spans="1:13" s="32" customFormat="1" ht="16.5" x14ac:dyDescent="0.3">
      <c r="A61" s="132" t="s">
        <v>214</v>
      </c>
      <c r="B61" s="9"/>
      <c r="C61" s="60">
        <f>7428.99</f>
        <v>7428.99</v>
      </c>
      <c r="D61" s="61"/>
      <c r="E61" s="1">
        <f>7766.99+7600.76</f>
        <v>15367.75</v>
      </c>
      <c r="F61" s="61"/>
      <c r="G61" s="60">
        <v>0</v>
      </c>
      <c r="H61" s="61"/>
      <c r="I61" s="60"/>
      <c r="J61" s="61"/>
      <c r="K61" s="60">
        <f>6051.96</f>
        <v>6051.96</v>
      </c>
      <c r="M61" s="76">
        <f>SUM(C61+E61+G61+I61+K61)</f>
        <v>28848.699999999997</v>
      </c>
    </row>
    <row r="62" spans="1:13" s="32" customFormat="1" ht="16.5" x14ac:dyDescent="0.3">
      <c r="A62" s="132" t="s">
        <v>215</v>
      </c>
      <c r="B62" s="9"/>
      <c r="C62" s="60">
        <f>6005.62</f>
        <v>6005.62</v>
      </c>
      <c r="D62" s="61"/>
      <c r="E62" s="60">
        <f>5901.09+8616.91</f>
        <v>14518</v>
      </c>
      <c r="F62" s="61"/>
      <c r="G62" s="60">
        <v>0</v>
      </c>
      <c r="H62" s="61"/>
      <c r="I62" s="60">
        <f>8793.35+6116.57+5851.22</f>
        <v>20761.14</v>
      </c>
      <c r="J62" s="61"/>
      <c r="K62" s="60">
        <f>6177.85</f>
        <v>6177.85</v>
      </c>
      <c r="M62" s="76">
        <f t="shared" ref="M62:M66" si="2">SUM(C62+E62+G62+I62+K62)</f>
        <v>47462.609999999993</v>
      </c>
    </row>
    <row r="63" spans="1:13" s="32" customFormat="1" ht="16.5" x14ac:dyDescent="0.3">
      <c r="A63" s="132" t="s">
        <v>216</v>
      </c>
      <c r="B63" s="9"/>
      <c r="C63" s="60">
        <v>0</v>
      </c>
      <c r="D63" s="61"/>
      <c r="E63" s="60">
        <f>5678.94+5702.34</f>
        <v>11381.279999999999</v>
      </c>
      <c r="F63" s="61"/>
      <c r="G63" s="60">
        <v>0</v>
      </c>
      <c r="H63" s="61"/>
      <c r="I63" s="60">
        <f>927.87+5059.06+6011.62</f>
        <v>11998.55</v>
      </c>
      <c r="J63" s="61"/>
      <c r="K63" s="60">
        <f>10697.88</f>
        <v>10697.88</v>
      </c>
      <c r="M63" s="76">
        <f t="shared" si="2"/>
        <v>34077.71</v>
      </c>
    </row>
    <row r="64" spans="1:13" s="32" customFormat="1" ht="16.5" x14ac:dyDescent="0.3">
      <c r="A64" s="132" t="s">
        <v>217</v>
      </c>
      <c r="B64" s="9"/>
      <c r="C64" s="60">
        <v>0</v>
      </c>
      <c r="D64" s="61"/>
      <c r="E64" s="60">
        <f>575.39+535.85</f>
        <v>1111.24</v>
      </c>
      <c r="F64" s="61"/>
      <c r="G64" s="60">
        <v>0</v>
      </c>
      <c r="H64" s="61"/>
      <c r="I64" s="60">
        <f>680.59+693.24+305.92+161.8</f>
        <v>1841.55</v>
      </c>
      <c r="J64" s="61"/>
      <c r="K64" s="60">
        <f>731.81</f>
        <v>731.81</v>
      </c>
      <c r="M64" s="76">
        <f t="shared" si="2"/>
        <v>3684.6</v>
      </c>
    </row>
    <row r="65" spans="1:13" s="32" customFormat="1" ht="16.5" x14ac:dyDescent="0.3">
      <c r="A65" s="132" t="s">
        <v>218</v>
      </c>
      <c r="B65" s="9"/>
      <c r="C65" s="60">
        <v>0</v>
      </c>
      <c r="D65" s="61"/>
      <c r="E65" s="60">
        <f>1084.35+1089.08</f>
        <v>2173.4299999999998</v>
      </c>
      <c r="F65" s="61"/>
      <c r="G65" s="60">
        <v>0</v>
      </c>
      <c r="H65" s="61"/>
      <c r="I65" s="60">
        <f>1053.44+1175.03+2770.74+1497.1</f>
        <v>6496.3099999999995</v>
      </c>
      <c r="J65" s="61"/>
      <c r="K65" s="60">
        <f>1316.74</f>
        <v>1316.74</v>
      </c>
      <c r="M65" s="76">
        <f t="shared" si="2"/>
        <v>9986.48</v>
      </c>
    </row>
    <row r="66" spans="1:13" s="32" customFormat="1" ht="16.5" x14ac:dyDescent="0.3">
      <c r="A66" s="132" t="s">
        <v>219</v>
      </c>
      <c r="B66" s="9"/>
      <c r="C66" s="60">
        <v>0</v>
      </c>
      <c r="D66" s="61"/>
      <c r="E66" s="60">
        <f>834.19+891.21</f>
        <v>1725.4</v>
      </c>
      <c r="F66" s="61"/>
      <c r="G66" s="60">
        <v>0</v>
      </c>
      <c r="H66" s="61"/>
      <c r="I66" s="60">
        <f>1579.51+812.18+854.57+824.01</f>
        <v>4070.2700000000004</v>
      </c>
      <c r="J66" s="61"/>
      <c r="K66" s="60">
        <f>893.49</f>
        <v>893.49</v>
      </c>
      <c r="M66" s="76">
        <f t="shared" si="2"/>
        <v>6689.16</v>
      </c>
    </row>
    <row r="67" spans="1:13" s="32" customFormat="1" ht="18" x14ac:dyDescent="0.35">
      <c r="A67" s="133" t="s">
        <v>32</v>
      </c>
      <c r="B67" s="3"/>
      <c r="C67" s="81">
        <f>SUM(C61:C66)</f>
        <v>13434.61</v>
      </c>
      <c r="E67" s="81">
        <f>SUM(E61:E66)</f>
        <v>46277.1</v>
      </c>
      <c r="G67" s="81">
        <f>SUM(G61:G66)</f>
        <v>0</v>
      </c>
      <c r="I67" s="81">
        <f>SUM(I61:I66)</f>
        <v>45167.819999999992</v>
      </c>
      <c r="K67" s="81">
        <f>SUM(K61:K66)</f>
        <v>25869.730000000007</v>
      </c>
      <c r="M67" s="79">
        <f>SUM(C67+E67+G67+I67+K67)</f>
        <v>130749.26000000001</v>
      </c>
    </row>
    <row r="68" spans="1:13" s="32" customFormat="1" ht="16.5" x14ac:dyDescent="0.3">
      <c r="A68" s="127" t="s">
        <v>51</v>
      </c>
      <c r="B68" s="9"/>
      <c r="C68" s="69"/>
      <c r="E68" s="69"/>
      <c r="G68" s="69"/>
      <c r="I68" s="69"/>
      <c r="K68" s="69"/>
      <c r="M68" s="93">
        <v>2</v>
      </c>
    </row>
    <row r="69" spans="1:13" s="32" customFormat="1" ht="15.75" x14ac:dyDescent="0.3">
      <c r="A69" s="128" t="s">
        <v>220</v>
      </c>
      <c r="B69" s="9"/>
      <c r="C69" s="1">
        <f>547.38+552.21</f>
        <v>1099.5900000000001</v>
      </c>
      <c r="D69"/>
      <c r="E69" s="1">
        <v>556.94000000000005</v>
      </c>
      <c r="F69"/>
      <c r="G69" s="1">
        <f>561.06</f>
        <v>561.05999999999995</v>
      </c>
      <c r="H69"/>
      <c r="I69" s="1">
        <f>566.3</f>
        <v>566.29999999999995</v>
      </c>
      <c r="J69"/>
      <c r="K69" s="1">
        <f>571.08</f>
        <v>571.08000000000004</v>
      </c>
      <c r="L69"/>
      <c r="M69" s="11">
        <f t="shared" ref="M69:M71" si="3">SUM(C69+E69+G69+I69+K69)</f>
        <v>3354.9700000000003</v>
      </c>
    </row>
    <row r="70" spans="1:13" s="32" customFormat="1" ht="15.75" x14ac:dyDescent="0.3">
      <c r="A70" s="128" t="s">
        <v>221</v>
      </c>
      <c r="B70" s="9"/>
      <c r="C70" s="1">
        <v>0</v>
      </c>
      <c r="D70"/>
      <c r="E70" s="1">
        <f>602.49+602.49</f>
        <v>1204.98</v>
      </c>
      <c r="F70"/>
      <c r="G70" s="1">
        <f>607.02</f>
        <v>607.02</v>
      </c>
      <c r="H70"/>
      <c r="I70" s="1">
        <f>612.76</f>
        <v>612.76</v>
      </c>
      <c r="J70"/>
      <c r="K70" s="1">
        <f>618.01</f>
        <v>618.01</v>
      </c>
      <c r="L70"/>
      <c r="M70" s="11">
        <f t="shared" si="3"/>
        <v>3042.7700000000004</v>
      </c>
    </row>
    <row r="71" spans="1:13" s="32" customFormat="1" ht="15.75" x14ac:dyDescent="0.3">
      <c r="A71" s="128" t="s">
        <v>222</v>
      </c>
      <c r="B71" s="9"/>
      <c r="C71" s="1">
        <v>0</v>
      </c>
      <c r="D71"/>
      <c r="E71" s="1">
        <v>0</v>
      </c>
      <c r="F71"/>
      <c r="G71" s="1">
        <v>0</v>
      </c>
      <c r="H71"/>
      <c r="I71" s="1">
        <f>501.17</f>
        <v>501.17</v>
      </c>
      <c r="J71"/>
      <c r="K71" s="1">
        <f>506.18</f>
        <v>506.18</v>
      </c>
      <c r="L71"/>
      <c r="M71" s="11">
        <f t="shared" si="3"/>
        <v>1007.35</v>
      </c>
    </row>
    <row r="72" spans="1:13" s="32" customFormat="1" ht="15.75" x14ac:dyDescent="0.3">
      <c r="A72" s="134" t="s">
        <v>32</v>
      </c>
      <c r="B72" s="33"/>
      <c r="C72" s="81">
        <f>SUM(C69:C71)</f>
        <v>1099.5900000000001</v>
      </c>
      <c r="E72" s="81">
        <f>SUM(E69:E71)</f>
        <v>1761.92</v>
      </c>
      <c r="G72" s="81">
        <f>SUM(G69:G71)</f>
        <v>1168.08</v>
      </c>
      <c r="I72" s="81">
        <f>SUM(I69:I71)</f>
        <v>1680.23</v>
      </c>
      <c r="K72" s="81">
        <f>SUM(K69:K71)</f>
        <v>1695.2700000000002</v>
      </c>
      <c r="M72" s="79">
        <f>SUM(C72+E72+G72+I72+K72)</f>
        <v>7405.09</v>
      </c>
    </row>
    <row r="73" spans="1:13" ht="15.75" x14ac:dyDescent="0.3">
      <c r="A73" s="127" t="s">
        <v>223</v>
      </c>
      <c r="B73" s="9"/>
      <c r="C73" s="1"/>
      <c r="E73" s="34"/>
      <c r="G73" s="34"/>
      <c r="I73" s="34"/>
      <c r="K73" s="60"/>
      <c r="M73" s="76"/>
    </row>
    <row r="74" spans="1:13" ht="15.75" x14ac:dyDescent="0.3">
      <c r="A74" s="128" t="s">
        <v>224</v>
      </c>
      <c r="B74" s="9"/>
      <c r="C74" s="60">
        <f>5924.94</f>
        <v>5924.94</v>
      </c>
      <c r="E74" s="34">
        <v>0</v>
      </c>
      <c r="G74" s="34">
        <v>0</v>
      </c>
      <c r="I74" s="34">
        <f>6304.81</f>
        <v>6304.81</v>
      </c>
      <c r="K74" s="60">
        <f>6174.81</f>
        <v>6174.81</v>
      </c>
      <c r="M74" s="11">
        <f>SUM(C74+E74+G74+I74+K74)</f>
        <v>18404.560000000001</v>
      </c>
    </row>
    <row r="75" spans="1:13" ht="15.75" x14ac:dyDescent="0.3">
      <c r="A75" s="134" t="s">
        <v>32</v>
      </c>
      <c r="B75" s="32"/>
      <c r="C75" s="81">
        <f>SUM(C74)</f>
        <v>5924.94</v>
      </c>
      <c r="D75" s="32"/>
      <c r="E75" s="81">
        <f>SUM(E74)</f>
        <v>0</v>
      </c>
      <c r="F75" s="32"/>
      <c r="G75" s="81">
        <f>SUM(G74)</f>
        <v>0</v>
      </c>
      <c r="H75" s="32"/>
      <c r="I75" s="81">
        <f>SUM(I74)</f>
        <v>6304.81</v>
      </c>
      <c r="J75" s="32"/>
      <c r="K75" s="81">
        <f>SUM(K74)</f>
        <v>6174.81</v>
      </c>
      <c r="L75" s="32"/>
      <c r="M75" s="79">
        <f>SUM(C75+E75+G75+I75+K75)</f>
        <v>18404.560000000001</v>
      </c>
    </row>
    <row r="76" spans="1:13" ht="15.75" x14ac:dyDescent="0.3">
      <c r="A76" s="127" t="s">
        <v>68</v>
      </c>
      <c r="B76" s="9"/>
      <c r="C76" s="1"/>
      <c r="E76" s="34"/>
      <c r="G76" s="34"/>
      <c r="I76" s="34"/>
      <c r="K76" s="60"/>
      <c r="M76" s="76"/>
    </row>
    <row r="77" spans="1:13" ht="15.75" x14ac:dyDescent="0.3">
      <c r="A77" s="128" t="s">
        <v>112</v>
      </c>
      <c r="B77" s="9"/>
      <c r="C77" s="1">
        <f>10147+7480+16530</f>
        <v>34157</v>
      </c>
      <c r="E77" s="34">
        <f>1870+8569.99+8228+18810</f>
        <v>37477.99</v>
      </c>
      <c r="G77" s="34">
        <f>3038.75+15801.5+14679.5+18925.49+2337.5</f>
        <v>54782.740000000005</v>
      </c>
      <c r="I77" s="34">
        <f>5069.5+3325</f>
        <v>8394.5</v>
      </c>
      <c r="K77" s="60">
        <f>19391.13+23281.5+29452.5</f>
        <v>72125.13</v>
      </c>
      <c r="M77" s="11">
        <f>SUM(C77+E77+G77+I77+K77)</f>
        <v>206937.36</v>
      </c>
    </row>
    <row r="78" spans="1:13" ht="15.75" x14ac:dyDescent="0.3">
      <c r="A78" s="128" t="s">
        <v>69</v>
      </c>
      <c r="B78" s="9"/>
      <c r="C78" s="1">
        <f>1400+1776.5+6030.75</f>
        <v>9207.25</v>
      </c>
      <c r="E78" s="34">
        <f>5240.94+1542.75+2807.02+6451.5+3038.75+981.75+1187.5</f>
        <v>21250.21</v>
      </c>
      <c r="G78" s="34">
        <f>1447.95+4095.28</f>
        <v>5543.2300000000005</v>
      </c>
      <c r="I78" s="34">
        <f>137.9+1418.55+3440.47+4385.15+7012.5+1080.8</f>
        <v>17475.37</v>
      </c>
      <c r="K78" s="60">
        <f>5236+1702.75+1958.95</f>
        <v>8897.7000000000007</v>
      </c>
      <c r="M78" s="11">
        <f t="shared" ref="M78:M81" si="4">SUM(C78+E78+G78+I78+K78)</f>
        <v>62373.759999999995</v>
      </c>
    </row>
    <row r="79" spans="1:13" ht="15.75" x14ac:dyDescent="0.3">
      <c r="A79" s="128" t="s">
        <v>150</v>
      </c>
      <c r="B79" s="9"/>
      <c r="C79" s="1">
        <v>0</v>
      </c>
      <c r="E79" s="34">
        <f>5385.6</f>
        <v>5385.6</v>
      </c>
      <c r="G79" s="34"/>
      <c r="I79" s="34">
        <f>7635.37</f>
        <v>7635.37</v>
      </c>
      <c r="K79" s="60"/>
      <c r="M79" s="11">
        <f t="shared" si="4"/>
        <v>13020.970000000001</v>
      </c>
    </row>
    <row r="80" spans="1:13" ht="15.75" x14ac:dyDescent="0.3">
      <c r="A80" s="128" t="s">
        <v>70</v>
      </c>
      <c r="B80" s="9"/>
      <c r="C80" s="1">
        <v>0</v>
      </c>
      <c r="E80" s="34"/>
      <c r="G80" s="34"/>
      <c r="I80" s="34"/>
      <c r="K80" s="60"/>
      <c r="M80" s="11">
        <f t="shared" si="4"/>
        <v>0</v>
      </c>
    </row>
    <row r="81" spans="1:13" ht="15.75" x14ac:dyDescent="0.3">
      <c r="A81" s="128" t="s">
        <v>71</v>
      </c>
      <c r="B81" s="9"/>
      <c r="C81" s="1">
        <v>0</v>
      </c>
      <c r="E81" s="34"/>
      <c r="G81" s="34"/>
      <c r="I81" s="34"/>
      <c r="K81" s="60"/>
      <c r="M81" s="11">
        <f t="shared" si="4"/>
        <v>0</v>
      </c>
    </row>
    <row r="82" spans="1:13" ht="15.75" x14ac:dyDescent="0.3">
      <c r="A82" s="134" t="s">
        <v>32</v>
      </c>
      <c r="B82" s="32"/>
      <c r="C82" s="81">
        <f>SUM(C77:C81)</f>
        <v>43364.25</v>
      </c>
      <c r="D82" s="32"/>
      <c r="E82" s="81">
        <f>SUM(E77:E81)</f>
        <v>64113.799999999996</v>
      </c>
      <c r="F82" s="32"/>
      <c r="G82" s="81">
        <f>SUM(G77:G81)</f>
        <v>60325.970000000008</v>
      </c>
      <c r="H82" s="32"/>
      <c r="I82" s="81">
        <f>SUM(I77:I81)</f>
        <v>33505.24</v>
      </c>
      <c r="J82" s="32"/>
      <c r="K82" s="81">
        <f>SUM(K77:K81)</f>
        <v>81022.83</v>
      </c>
      <c r="L82" s="32"/>
      <c r="M82" s="79">
        <f>SUM(C82+E82+G82+I82+K82)</f>
        <v>282332.08999999997</v>
      </c>
    </row>
    <row r="83" spans="1:13" ht="15.75" x14ac:dyDescent="0.3">
      <c r="A83" s="135" t="s">
        <v>113</v>
      </c>
      <c r="B83" s="9"/>
      <c r="C83" s="1"/>
      <c r="E83" s="34"/>
      <c r="G83" s="34"/>
      <c r="I83" s="34"/>
      <c r="K83" s="60"/>
      <c r="M83" s="76"/>
    </row>
    <row r="84" spans="1:13" ht="15.75" x14ac:dyDescent="0.3">
      <c r="A84" s="128" t="s">
        <v>114</v>
      </c>
      <c r="B84" s="9"/>
      <c r="C84" s="1">
        <v>0</v>
      </c>
      <c r="E84" s="34">
        <f>507.35</f>
        <v>507.35</v>
      </c>
      <c r="G84" s="34">
        <v>0</v>
      </c>
      <c r="I84" s="34">
        <f>523.8</f>
        <v>523.79999999999995</v>
      </c>
      <c r="K84" s="60">
        <v>0</v>
      </c>
      <c r="M84" s="11">
        <f>SUM(C84+E84+G84+I84+K84)</f>
        <v>1031.1500000000001</v>
      </c>
    </row>
    <row r="85" spans="1:13" ht="15.75" x14ac:dyDescent="0.3">
      <c r="A85" s="128" t="s">
        <v>116</v>
      </c>
      <c r="B85" s="9"/>
      <c r="C85" s="1">
        <v>0</v>
      </c>
      <c r="E85" s="34">
        <v>0</v>
      </c>
      <c r="G85" s="34">
        <f>1715</f>
        <v>1715</v>
      </c>
      <c r="I85" s="34">
        <f>3430</f>
        <v>3430</v>
      </c>
      <c r="K85" s="60">
        <v>0</v>
      </c>
      <c r="M85" s="11">
        <f t="shared" ref="M85:M88" si="5">SUM(C85+E85+G85+I85+K85)</f>
        <v>5145</v>
      </c>
    </row>
    <row r="86" spans="1:13" ht="15.75" x14ac:dyDescent="0.3">
      <c r="A86" s="128" t="s">
        <v>117</v>
      </c>
      <c r="B86" s="9"/>
      <c r="C86" s="1">
        <v>0</v>
      </c>
      <c r="E86" s="34">
        <v>0</v>
      </c>
      <c r="G86" s="34">
        <f>1701.17</f>
        <v>1701.17</v>
      </c>
      <c r="I86" s="34">
        <f>3402.34</f>
        <v>3402.34</v>
      </c>
      <c r="K86" s="60">
        <v>0</v>
      </c>
      <c r="M86" s="11">
        <f t="shared" si="5"/>
        <v>5103.51</v>
      </c>
    </row>
    <row r="87" spans="1:13" ht="15.75" x14ac:dyDescent="0.3">
      <c r="A87" s="128" t="s">
        <v>115</v>
      </c>
      <c r="B87" s="9"/>
      <c r="C87" s="1">
        <f>1079.4+350</f>
        <v>1429.4</v>
      </c>
      <c r="E87" s="34">
        <f>150+350</f>
        <v>500</v>
      </c>
      <c r="G87" s="34">
        <f>515</f>
        <v>515</v>
      </c>
      <c r="I87" s="34">
        <f>350+330</f>
        <v>680</v>
      </c>
      <c r="K87" s="60">
        <f>180+350</f>
        <v>530</v>
      </c>
      <c r="M87" s="11">
        <f t="shared" si="5"/>
        <v>3654.4</v>
      </c>
    </row>
    <row r="88" spans="1:13" ht="15.75" x14ac:dyDescent="0.3">
      <c r="A88" s="128" t="s">
        <v>197</v>
      </c>
      <c r="B88" s="9"/>
      <c r="C88" s="1">
        <v>0</v>
      </c>
      <c r="E88" s="34">
        <f>700</f>
        <v>700</v>
      </c>
      <c r="G88" s="34">
        <v>0</v>
      </c>
      <c r="I88" s="34">
        <v>0</v>
      </c>
      <c r="K88" s="60">
        <v>0</v>
      </c>
      <c r="M88" s="11">
        <f t="shared" si="5"/>
        <v>700</v>
      </c>
    </row>
    <row r="89" spans="1:13" ht="15.75" x14ac:dyDescent="0.3">
      <c r="A89" s="134" t="s">
        <v>32</v>
      </c>
      <c r="B89" s="32"/>
      <c r="C89" s="81">
        <f>SUM(C84:C88)</f>
        <v>1429.4</v>
      </c>
      <c r="D89" s="32"/>
      <c r="E89" s="81">
        <f>SUM(E84:E88)</f>
        <v>1707.35</v>
      </c>
      <c r="F89" s="32"/>
      <c r="G89" s="81">
        <f>SUM(G84:G88)</f>
        <v>3931.17</v>
      </c>
      <c r="H89" s="32"/>
      <c r="I89" s="81">
        <f>SUM(I84:I88)</f>
        <v>8036.14</v>
      </c>
      <c r="J89" s="32"/>
      <c r="K89" s="81">
        <f>SUM(K84:K88)</f>
        <v>530</v>
      </c>
      <c r="L89" s="32"/>
      <c r="M89" s="79">
        <f>SUM(C89+E89+G89+I89+K89)</f>
        <v>15634.060000000001</v>
      </c>
    </row>
    <row r="90" spans="1:13" ht="15.75" x14ac:dyDescent="0.3">
      <c r="A90" s="127" t="s">
        <v>88</v>
      </c>
      <c r="B90" s="9"/>
      <c r="C90" s="1"/>
      <c r="E90" s="34"/>
      <c r="G90" s="34"/>
      <c r="I90" s="34"/>
      <c r="K90" s="60"/>
      <c r="M90" s="76"/>
    </row>
    <row r="91" spans="1:13" ht="15.75" x14ac:dyDescent="0.3">
      <c r="A91" s="128" t="s">
        <v>82</v>
      </c>
      <c r="B91" s="9"/>
      <c r="C91" s="1">
        <f>676.38</f>
        <v>676.38</v>
      </c>
      <c r="E91" s="34">
        <f>729.74+44</f>
        <v>773.74</v>
      </c>
      <c r="G91" s="34">
        <f>869.81</f>
        <v>869.81</v>
      </c>
      <c r="I91" s="34">
        <f>623.02</f>
        <v>623.02</v>
      </c>
      <c r="K91" s="60">
        <f>839.79</f>
        <v>839.79</v>
      </c>
      <c r="M91" s="11">
        <f>SUM(C91+E91+G91+I91+K91)</f>
        <v>3782.74</v>
      </c>
    </row>
    <row r="92" spans="1:13" ht="15.75" x14ac:dyDescent="0.3">
      <c r="A92" s="128" t="s">
        <v>1</v>
      </c>
      <c r="B92" s="9"/>
      <c r="C92" s="1">
        <f>3489.48</f>
        <v>3489.48</v>
      </c>
      <c r="E92" s="34">
        <f>5471.93+253.24+211.2+3595.82+4182.33</f>
        <v>13714.52</v>
      </c>
      <c r="G92" s="34">
        <f>4857.83</f>
        <v>4857.83</v>
      </c>
      <c r="I92" s="34">
        <f>276.7+202.9+180.38+4675.84</f>
        <v>5335.82</v>
      </c>
      <c r="K92" s="60">
        <v>0</v>
      </c>
      <c r="M92" s="11">
        <f t="shared" ref="M92:M124" si="6">SUM(C92+E92+G92+I92+K92)</f>
        <v>27397.65</v>
      </c>
    </row>
    <row r="93" spans="1:13" ht="15.75" x14ac:dyDescent="0.3">
      <c r="A93" s="128" t="s">
        <v>81</v>
      </c>
      <c r="B93" s="9"/>
      <c r="C93" s="1">
        <v>0</v>
      </c>
      <c r="E93" s="34">
        <f>150.03+70.01+89.94+599.93+249.96+50</f>
        <v>1209.8699999999999</v>
      </c>
      <c r="G93" s="34">
        <f>69.98+169.95+150.09</f>
        <v>390.02</v>
      </c>
      <c r="I93" s="34">
        <f>782.92+109.94+1012.88</f>
        <v>1905.7399999999998</v>
      </c>
      <c r="K93" s="60">
        <v>0</v>
      </c>
      <c r="M93" s="11">
        <f t="shared" si="6"/>
        <v>3505.6299999999997</v>
      </c>
    </row>
    <row r="94" spans="1:13" ht="15.75" x14ac:dyDescent="0.3">
      <c r="A94" s="128" t="s">
        <v>89</v>
      </c>
      <c r="B94" s="9"/>
      <c r="C94" s="1">
        <f>846.84+442.86</f>
        <v>1289.7</v>
      </c>
      <c r="E94" s="34">
        <f>59.8+390.94+1158.42</f>
        <v>1609.16</v>
      </c>
      <c r="G94" s="34">
        <f>1548.83+377.36</f>
        <v>1926.19</v>
      </c>
      <c r="I94" s="34">
        <f>391.63+990.2</f>
        <v>1381.83</v>
      </c>
      <c r="K94" s="60">
        <f>874.32+498.28+1010.21+412.71</f>
        <v>2795.52</v>
      </c>
      <c r="M94" s="11">
        <f t="shared" si="6"/>
        <v>9002.4</v>
      </c>
    </row>
    <row r="95" spans="1:13" ht="15.75" x14ac:dyDescent="0.3">
      <c r="A95" s="128" t="s">
        <v>90</v>
      </c>
      <c r="B95" s="9"/>
      <c r="C95" s="1">
        <f>75+140.5+3.2+19.4+7.7</f>
        <v>245.79999999999998</v>
      </c>
      <c r="E95" s="34">
        <f>60.95+44.5+8.2+7.65</f>
        <v>121.30000000000001</v>
      </c>
      <c r="G95" s="34">
        <f>8.2</f>
        <v>8.1999999999999993</v>
      </c>
      <c r="I95" s="34">
        <f>19.81</f>
        <v>19.809999999999999</v>
      </c>
      <c r="K95" s="60">
        <v>0</v>
      </c>
      <c r="M95" s="11">
        <f t="shared" si="6"/>
        <v>395.11</v>
      </c>
    </row>
    <row r="96" spans="1:13" ht="15.75" x14ac:dyDescent="0.3">
      <c r="A96" s="128" t="s">
        <v>91</v>
      </c>
      <c r="B96" s="9"/>
      <c r="C96" s="1">
        <v>0</v>
      </c>
      <c r="E96" s="34">
        <f>618.9</f>
        <v>618.9</v>
      </c>
      <c r="G96" s="34">
        <f>1250.8</f>
        <v>1250.8</v>
      </c>
      <c r="I96" s="34">
        <f>904.67</f>
        <v>904.67</v>
      </c>
      <c r="K96" s="60">
        <v>0</v>
      </c>
      <c r="M96" s="11">
        <f t="shared" si="6"/>
        <v>2774.37</v>
      </c>
    </row>
    <row r="97" spans="1:13" ht="15.75" x14ac:dyDescent="0.3">
      <c r="A97" s="128" t="s">
        <v>92</v>
      </c>
      <c r="B97" s="9"/>
      <c r="C97" s="1">
        <v>0</v>
      </c>
      <c r="E97" s="34">
        <f>4277.25</f>
        <v>4277.25</v>
      </c>
      <c r="G97" s="34">
        <f>933.22</f>
        <v>933.22</v>
      </c>
      <c r="I97" s="34">
        <f>1866.44</f>
        <v>1866.44</v>
      </c>
      <c r="K97" s="60">
        <v>0</v>
      </c>
      <c r="M97" s="11">
        <f t="shared" si="6"/>
        <v>7076.91</v>
      </c>
    </row>
    <row r="98" spans="1:13" ht="15.75" x14ac:dyDescent="0.3">
      <c r="A98" s="128" t="s">
        <v>93</v>
      </c>
      <c r="B98" s="9"/>
      <c r="C98" s="1">
        <v>0</v>
      </c>
      <c r="E98" s="34">
        <v>0</v>
      </c>
      <c r="G98" s="34">
        <v>0</v>
      </c>
      <c r="I98" s="34">
        <v>0</v>
      </c>
      <c r="K98" s="60">
        <v>0</v>
      </c>
      <c r="M98" s="11">
        <f t="shared" si="6"/>
        <v>0</v>
      </c>
    </row>
    <row r="99" spans="1:13" ht="16.5" x14ac:dyDescent="0.3">
      <c r="A99" s="106" t="s">
        <v>201</v>
      </c>
      <c r="B99" s="9"/>
      <c r="C99" s="1">
        <f>40+50</f>
        <v>90</v>
      </c>
      <c r="E99" s="34">
        <v>0</v>
      </c>
      <c r="G99" s="34">
        <v>0</v>
      </c>
      <c r="I99" s="34">
        <f>40+40+40</f>
        <v>120</v>
      </c>
      <c r="K99" s="60">
        <v>0</v>
      </c>
      <c r="M99" s="11">
        <f t="shared" si="6"/>
        <v>210</v>
      </c>
    </row>
    <row r="100" spans="1:13" ht="15.75" x14ac:dyDescent="0.3">
      <c r="A100" s="128" t="s">
        <v>94</v>
      </c>
      <c r="B100" s="9"/>
      <c r="C100" s="1">
        <v>0</v>
      </c>
      <c r="E100" s="34">
        <f>30+91.6+1909.2</f>
        <v>2030.8</v>
      </c>
      <c r="G100" s="34">
        <v>0</v>
      </c>
      <c r="I100" s="34">
        <f>313.65</f>
        <v>313.64999999999998</v>
      </c>
      <c r="K100" s="60">
        <v>0</v>
      </c>
      <c r="M100" s="11">
        <f t="shared" si="6"/>
        <v>2344.4499999999998</v>
      </c>
    </row>
    <row r="101" spans="1:13" ht="15.75" x14ac:dyDescent="0.3">
      <c r="A101" s="128" t="s">
        <v>95</v>
      </c>
      <c r="B101" s="9"/>
      <c r="C101" s="1">
        <v>0</v>
      </c>
      <c r="E101" s="34">
        <f>1739.5+990</f>
        <v>2729.5</v>
      </c>
      <c r="G101" s="34">
        <f>150+330</f>
        <v>480</v>
      </c>
      <c r="I101" s="34">
        <v>0</v>
      </c>
      <c r="K101" s="60">
        <v>0</v>
      </c>
      <c r="M101" s="11">
        <f t="shared" si="6"/>
        <v>3209.5</v>
      </c>
    </row>
    <row r="102" spans="1:13" ht="15.75" x14ac:dyDescent="0.3">
      <c r="A102" s="128" t="s">
        <v>96</v>
      </c>
      <c r="B102" s="9"/>
      <c r="C102" s="1">
        <v>0</v>
      </c>
      <c r="E102" s="34"/>
      <c r="G102" s="34">
        <v>0</v>
      </c>
      <c r="I102" s="34">
        <v>0</v>
      </c>
      <c r="K102" s="60">
        <v>0</v>
      </c>
      <c r="M102" s="11">
        <f t="shared" si="6"/>
        <v>0</v>
      </c>
    </row>
    <row r="103" spans="1:13" ht="15.75" x14ac:dyDescent="0.3">
      <c r="A103" s="128" t="s">
        <v>97</v>
      </c>
      <c r="B103" s="9"/>
      <c r="C103" s="1">
        <v>0</v>
      </c>
      <c r="E103" s="34">
        <f>16+42.5+14.9+14.9+26.19</f>
        <v>114.49000000000001</v>
      </c>
      <c r="G103" s="34">
        <f>89</f>
        <v>89</v>
      </c>
      <c r="I103" s="34">
        <f>83</f>
        <v>83</v>
      </c>
      <c r="K103" s="60">
        <v>0</v>
      </c>
      <c r="M103" s="11">
        <f t="shared" si="6"/>
        <v>286.49</v>
      </c>
    </row>
    <row r="104" spans="1:13" ht="15.75" x14ac:dyDescent="0.3">
      <c r="A104" s="128" t="s">
        <v>98</v>
      </c>
      <c r="B104" s="9"/>
      <c r="C104" s="1">
        <v>0</v>
      </c>
      <c r="E104" s="34">
        <f>2916.7</f>
        <v>2916.7</v>
      </c>
      <c r="G104" s="34">
        <f>603</f>
        <v>603</v>
      </c>
      <c r="I104" s="34">
        <f>120+1276.44</f>
        <v>1396.44</v>
      </c>
      <c r="K104" s="60">
        <v>0</v>
      </c>
      <c r="M104" s="11">
        <f t="shared" si="6"/>
        <v>4916.1399999999994</v>
      </c>
    </row>
    <row r="105" spans="1:13" ht="15.75" x14ac:dyDescent="0.3">
      <c r="A105" s="128" t="s">
        <v>99</v>
      </c>
      <c r="B105" s="9"/>
      <c r="C105" s="1">
        <v>0</v>
      </c>
      <c r="E105" s="34">
        <v>0</v>
      </c>
      <c r="G105" s="34">
        <v>0</v>
      </c>
      <c r="I105" s="34">
        <v>0</v>
      </c>
      <c r="K105" s="60">
        <v>0</v>
      </c>
      <c r="M105" s="11">
        <f t="shared" si="6"/>
        <v>0</v>
      </c>
    </row>
    <row r="106" spans="1:13" ht="15.75" x14ac:dyDescent="0.3">
      <c r="A106" s="128" t="s">
        <v>183</v>
      </c>
      <c r="B106" s="9"/>
      <c r="C106" s="1">
        <v>0</v>
      </c>
      <c r="E106" s="34">
        <v>0</v>
      </c>
      <c r="G106" s="34">
        <f>2511.29</f>
        <v>2511.29</v>
      </c>
      <c r="I106" s="34">
        <f>1607.25</f>
        <v>1607.25</v>
      </c>
      <c r="K106" s="60">
        <v>0</v>
      </c>
      <c r="M106" s="11">
        <f t="shared" si="6"/>
        <v>4118.54</v>
      </c>
    </row>
    <row r="107" spans="1:13" ht="16.5" x14ac:dyDescent="0.3">
      <c r="A107" s="106" t="s">
        <v>196</v>
      </c>
      <c r="B107" s="9"/>
      <c r="C107" s="1">
        <v>0</v>
      </c>
      <c r="E107" s="34">
        <f>2191.14</f>
        <v>2191.14</v>
      </c>
      <c r="G107" s="34">
        <f>378.98</f>
        <v>378.98</v>
      </c>
      <c r="I107" s="34">
        <f>971.67</f>
        <v>971.67</v>
      </c>
      <c r="K107" s="60">
        <v>0</v>
      </c>
      <c r="M107" s="11">
        <f t="shared" si="6"/>
        <v>3541.79</v>
      </c>
    </row>
    <row r="108" spans="1:13" ht="15.75" x14ac:dyDescent="0.3">
      <c r="A108" s="128" t="s">
        <v>100</v>
      </c>
      <c r="B108" s="9"/>
      <c r="C108" s="1">
        <f>773+240+621.3</f>
        <v>1634.3</v>
      </c>
      <c r="E108" s="34">
        <f>132.57</f>
        <v>132.57</v>
      </c>
      <c r="G108" s="34">
        <v>0</v>
      </c>
      <c r="I108" s="34">
        <f>66.7</f>
        <v>66.7</v>
      </c>
      <c r="K108" s="60">
        <f>409</f>
        <v>409</v>
      </c>
      <c r="M108" s="11">
        <f t="shared" si="6"/>
        <v>2242.5699999999997</v>
      </c>
    </row>
    <row r="109" spans="1:13" ht="15.75" x14ac:dyDescent="0.3">
      <c r="A109" s="128" t="s">
        <v>101</v>
      </c>
      <c r="B109" s="9"/>
      <c r="C109" s="1">
        <f>600</f>
        <v>600</v>
      </c>
      <c r="E109" s="34">
        <f>621+600</f>
        <v>1221</v>
      </c>
      <c r="G109" s="34">
        <f>1221</f>
        <v>1221</v>
      </c>
      <c r="I109" s="34">
        <f>621</f>
        <v>621</v>
      </c>
      <c r="K109" s="60">
        <f>621</f>
        <v>621</v>
      </c>
      <c r="M109" s="11">
        <f t="shared" si="6"/>
        <v>4284</v>
      </c>
    </row>
    <row r="110" spans="1:13" ht="15.75" x14ac:dyDescent="0.3">
      <c r="A110" s="128" t="s">
        <v>102</v>
      </c>
      <c r="B110" s="9"/>
      <c r="C110" s="1">
        <v>0</v>
      </c>
      <c r="E110" s="34">
        <v>0</v>
      </c>
      <c r="G110" s="34">
        <v>0</v>
      </c>
      <c r="I110" s="34">
        <v>0</v>
      </c>
      <c r="K110" s="60">
        <v>0</v>
      </c>
      <c r="M110" s="11">
        <f t="shared" si="6"/>
        <v>0</v>
      </c>
    </row>
    <row r="111" spans="1:13" ht="15.75" x14ac:dyDescent="0.3">
      <c r="A111" s="128" t="s">
        <v>103</v>
      </c>
      <c r="B111" s="9"/>
      <c r="C111" s="1">
        <v>0</v>
      </c>
      <c r="E111" s="34">
        <v>0</v>
      </c>
      <c r="G111" s="34">
        <v>0</v>
      </c>
      <c r="I111" s="34">
        <f>1178.32</f>
        <v>1178.32</v>
      </c>
      <c r="K111" s="60">
        <f>1150+30.6</f>
        <v>1180.5999999999999</v>
      </c>
      <c r="M111" s="11">
        <f t="shared" si="6"/>
        <v>2358.92</v>
      </c>
    </row>
    <row r="112" spans="1:13" ht="15.75" x14ac:dyDescent="0.3">
      <c r="A112" s="128" t="s">
        <v>182</v>
      </c>
      <c r="B112" s="9"/>
      <c r="C112" s="1">
        <f>625+460</f>
        <v>1085</v>
      </c>
      <c r="E112" s="34">
        <f>458.5+625</f>
        <v>1083.5</v>
      </c>
      <c r="G112" s="34">
        <f>458.5+625</f>
        <v>1083.5</v>
      </c>
      <c r="I112" s="34">
        <f>458.5+625</f>
        <v>1083.5</v>
      </c>
      <c r="K112" s="60">
        <v>0</v>
      </c>
      <c r="M112" s="11">
        <f t="shared" si="6"/>
        <v>4335.5</v>
      </c>
    </row>
    <row r="113" spans="1:13" ht="15.75" x14ac:dyDescent="0.3">
      <c r="A113" s="128" t="s">
        <v>104</v>
      </c>
      <c r="B113" s="9"/>
      <c r="C113" s="1">
        <v>0</v>
      </c>
      <c r="E113" s="34">
        <v>0</v>
      </c>
      <c r="G113" s="34">
        <v>0</v>
      </c>
      <c r="I113" s="34">
        <v>0</v>
      </c>
      <c r="K113" s="60">
        <v>0</v>
      </c>
      <c r="M113" s="11">
        <f t="shared" si="6"/>
        <v>0</v>
      </c>
    </row>
    <row r="114" spans="1:13" ht="15.75" x14ac:dyDescent="0.3">
      <c r="A114" s="128" t="s">
        <v>105</v>
      </c>
      <c r="B114" s="9"/>
      <c r="C114" s="1">
        <v>0</v>
      </c>
      <c r="E114" s="34">
        <v>0</v>
      </c>
      <c r="G114" s="34">
        <v>0</v>
      </c>
      <c r="I114" s="34">
        <v>0</v>
      </c>
      <c r="K114" s="60">
        <f>330</f>
        <v>330</v>
      </c>
      <c r="M114" s="11">
        <f t="shared" si="6"/>
        <v>330</v>
      </c>
    </row>
    <row r="115" spans="1:13" ht="15.75" x14ac:dyDescent="0.3">
      <c r="A115" s="128" t="s">
        <v>83</v>
      </c>
      <c r="B115" s="9"/>
      <c r="C115" s="1">
        <v>0</v>
      </c>
      <c r="E115" s="34">
        <v>0</v>
      </c>
      <c r="G115" s="34">
        <v>0</v>
      </c>
      <c r="I115" s="34">
        <v>0</v>
      </c>
      <c r="K115" s="60">
        <v>0</v>
      </c>
      <c r="M115" s="11">
        <f t="shared" si="6"/>
        <v>0</v>
      </c>
    </row>
    <row r="116" spans="1:13" ht="15.75" x14ac:dyDescent="0.3">
      <c r="A116" s="130" t="s">
        <v>67</v>
      </c>
      <c r="B116" s="9"/>
      <c r="C116" s="1">
        <v>0</v>
      </c>
      <c r="E116" s="34">
        <f>924</f>
        <v>924</v>
      </c>
      <c r="G116" s="34">
        <v>0</v>
      </c>
      <c r="I116" s="34">
        <v>0</v>
      </c>
      <c r="K116" s="60">
        <v>0</v>
      </c>
      <c r="M116" s="11">
        <f t="shared" si="6"/>
        <v>924</v>
      </c>
    </row>
    <row r="117" spans="1:13" ht="15.75" x14ac:dyDescent="0.3">
      <c r="A117" s="128" t="s">
        <v>61</v>
      </c>
      <c r="B117" s="9"/>
      <c r="C117" s="1">
        <v>0</v>
      </c>
      <c r="E117" s="34">
        <v>0</v>
      </c>
      <c r="G117" s="34">
        <v>0</v>
      </c>
      <c r="I117" s="34">
        <v>0</v>
      </c>
      <c r="K117" s="60">
        <f>618.01+506.18</f>
        <v>1124.19</v>
      </c>
      <c r="M117" s="11">
        <f t="shared" si="6"/>
        <v>1124.19</v>
      </c>
    </row>
    <row r="118" spans="1:13" ht="15.75" x14ac:dyDescent="0.3">
      <c r="A118" s="130" t="s">
        <v>72</v>
      </c>
      <c r="B118" s="9"/>
      <c r="C118" s="1">
        <v>0</v>
      </c>
      <c r="E118" s="34">
        <v>0</v>
      </c>
      <c r="G118" s="34">
        <v>0</v>
      </c>
      <c r="I118" s="34">
        <v>0</v>
      </c>
      <c r="K118" s="60">
        <v>0</v>
      </c>
      <c r="M118" s="11">
        <f t="shared" si="6"/>
        <v>0</v>
      </c>
    </row>
    <row r="119" spans="1:13" ht="15.75" x14ac:dyDescent="0.3">
      <c r="A119" s="128" t="s">
        <v>73</v>
      </c>
      <c r="B119" s="9"/>
      <c r="C119" s="1">
        <v>0</v>
      </c>
      <c r="E119" s="34">
        <v>0</v>
      </c>
      <c r="G119" s="34">
        <v>0</v>
      </c>
      <c r="I119" s="34">
        <v>0</v>
      </c>
      <c r="K119" s="60">
        <v>0</v>
      </c>
      <c r="M119" s="11">
        <f t="shared" si="6"/>
        <v>0</v>
      </c>
    </row>
    <row r="120" spans="1:13" ht="15.75" x14ac:dyDescent="0.3">
      <c r="A120" s="128" t="s">
        <v>74</v>
      </c>
      <c r="B120" s="9"/>
      <c r="C120" s="1">
        <v>0</v>
      </c>
      <c r="E120" s="34">
        <v>0</v>
      </c>
      <c r="G120" s="34">
        <v>0</v>
      </c>
      <c r="I120" s="34">
        <v>0</v>
      </c>
      <c r="K120" s="60">
        <v>0</v>
      </c>
      <c r="M120" s="11">
        <f t="shared" si="6"/>
        <v>0</v>
      </c>
    </row>
    <row r="121" spans="1:13" ht="15.75" x14ac:dyDescent="0.3">
      <c r="A121" s="130" t="s">
        <v>75</v>
      </c>
      <c r="B121" s="9"/>
      <c r="C121" s="1">
        <v>0</v>
      </c>
      <c r="E121" s="34">
        <v>0</v>
      </c>
      <c r="G121" s="34">
        <v>0</v>
      </c>
      <c r="I121" s="34">
        <v>0</v>
      </c>
      <c r="K121" s="60">
        <v>0</v>
      </c>
      <c r="M121" s="11">
        <f t="shared" si="6"/>
        <v>0</v>
      </c>
    </row>
    <row r="122" spans="1:13" ht="15.75" x14ac:dyDescent="0.3">
      <c r="A122" s="130" t="s">
        <v>119</v>
      </c>
      <c r="B122" s="9"/>
      <c r="C122" s="1">
        <v>0</v>
      </c>
      <c r="E122" s="34">
        <f>4515.32</f>
        <v>4515.32</v>
      </c>
      <c r="G122" s="34">
        <v>0</v>
      </c>
      <c r="I122" s="34">
        <v>0</v>
      </c>
      <c r="K122" s="60">
        <f>1969.94</f>
        <v>1969.94</v>
      </c>
      <c r="M122" s="11">
        <f t="shared" si="6"/>
        <v>6485.26</v>
      </c>
    </row>
    <row r="123" spans="1:13" ht="15.75" x14ac:dyDescent="0.3">
      <c r="A123" s="130" t="s">
        <v>195</v>
      </c>
      <c r="B123" s="9"/>
      <c r="C123" s="1">
        <v>0</v>
      </c>
      <c r="E123" s="34">
        <f>1727.95</f>
        <v>1727.95</v>
      </c>
      <c r="G123" s="34">
        <f>1176.43</f>
        <v>1176.43</v>
      </c>
      <c r="I123" s="34">
        <f>1249.61</f>
        <v>1249.6099999999999</v>
      </c>
      <c r="K123" s="60">
        <f>1246.7</f>
        <v>1246.7</v>
      </c>
      <c r="M123" s="11">
        <f t="shared" si="6"/>
        <v>5400.69</v>
      </c>
    </row>
    <row r="124" spans="1:13" ht="15.75" x14ac:dyDescent="0.3">
      <c r="A124" s="128" t="s">
        <v>63</v>
      </c>
      <c r="B124" s="9"/>
      <c r="C124" s="1">
        <f>368.32+366.76+258.54+668.43+504.73+311.87+1000.25+153.69</f>
        <v>3632.5899999999997</v>
      </c>
      <c r="E124" s="34">
        <f>362.15+362.15+368.32+366.76+258.54+504.73+1000.25</f>
        <v>3222.8999999999996</v>
      </c>
      <c r="G124" s="34">
        <f>1000.25+366.76+258.54+668.43+635.01+362.15+153.69</f>
        <v>3444.83</v>
      </c>
      <c r="I124" s="34">
        <f>368.32+362.15+153.69+504.73+701.85</f>
        <v>2090.7400000000002</v>
      </c>
      <c r="K124" s="60">
        <f>668.43+311.87+362.15+1000.25+1000.25</f>
        <v>3342.95</v>
      </c>
      <c r="M124" s="11">
        <f t="shared" si="6"/>
        <v>15734.009999999998</v>
      </c>
    </row>
    <row r="125" spans="1:13" ht="15.75" x14ac:dyDescent="0.3">
      <c r="A125" s="134" t="s">
        <v>32</v>
      </c>
      <c r="B125" s="32"/>
      <c r="C125" s="81">
        <f>SUM(C91:C124)</f>
        <v>12743.25</v>
      </c>
      <c r="D125" s="32"/>
      <c r="E125" s="81">
        <f>SUM(E91:E124)</f>
        <v>45134.61</v>
      </c>
      <c r="F125" s="32"/>
      <c r="G125" s="81">
        <f>SUM(G91:G124)</f>
        <v>21224.1</v>
      </c>
      <c r="H125" s="32"/>
      <c r="I125" s="81">
        <f>SUM(I91:I124)</f>
        <v>22819.210000000003</v>
      </c>
      <c r="J125" s="32"/>
      <c r="K125" s="81">
        <f>SUM(K91:K124)</f>
        <v>13859.690000000002</v>
      </c>
      <c r="L125" s="32"/>
      <c r="M125" s="79">
        <f>SUM(C125+E125+G125+I125+K125)</f>
        <v>115780.86</v>
      </c>
    </row>
    <row r="126" spans="1:13" ht="15.75" x14ac:dyDescent="0.3">
      <c r="A126" s="127" t="s">
        <v>76</v>
      </c>
      <c r="B126" s="9"/>
      <c r="C126" s="1"/>
      <c r="E126" s="34"/>
      <c r="G126" s="34"/>
      <c r="I126" s="34"/>
      <c r="K126" s="60"/>
      <c r="M126" s="76"/>
    </row>
    <row r="127" spans="1:13" ht="15.75" x14ac:dyDescent="0.3">
      <c r="A127" s="130" t="s">
        <v>123</v>
      </c>
      <c r="B127" s="9"/>
      <c r="C127" s="1">
        <v>0</v>
      </c>
      <c r="E127" s="34">
        <f>1594.59</f>
        <v>1594.59</v>
      </c>
      <c r="G127" s="34">
        <f>1205.67</f>
        <v>1205.67</v>
      </c>
      <c r="I127" s="34">
        <f>293.43</f>
        <v>293.43</v>
      </c>
      <c r="K127" s="60">
        <f>242.72</f>
        <v>242.72</v>
      </c>
      <c r="M127" s="11">
        <f>SUM(C127+E127+G127+I127+K127)</f>
        <v>3336.41</v>
      </c>
    </row>
    <row r="128" spans="1:13" ht="15.75" x14ac:dyDescent="0.3">
      <c r="A128" s="130" t="s">
        <v>124</v>
      </c>
      <c r="B128" s="9"/>
      <c r="C128" s="1">
        <v>0</v>
      </c>
      <c r="E128" s="34">
        <f>1413.35+336.74+140.48+268.91+5369.03+403.67+172.24+900.67+136.47+147.85+72.7+30.35+97.45+153.26</f>
        <v>9643.1700000000019</v>
      </c>
      <c r="G128" s="34">
        <f>173.81+1060.79+81.84+751.64+97.59+79.09+61.47+120.51+59.22+109.86+292.38+19.05+20.24+112.69+20.24+74.51+14.3</f>
        <v>3149.2300000000005</v>
      </c>
      <c r="I128" s="34">
        <f>932+219.38+138.85+752.88</f>
        <v>2043.1100000000001</v>
      </c>
      <c r="K128" s="60">
        <f>740+22.6+667.6+71.48+113.15+129.82+45.53+75.52+5.94+80.79+50.8+250.74+100.95+783.5+1386.92+185.97+305.66</f>
        <v>5016.97</v>
      </c>
      <c r="M128" s="11">
        <f t="shared" ref="M128:M131" si="7">SUM(C128+E128+G128+I128+K128)</f>
        <v>19852.480000000003</v>
      </c>
    </row>
    <row r="129" spans="1:13" ht="15.75" x14ac:dyDescent="0.3">
      <c r="A129" s="130" t="s">
        <v>128</v>
      </c>
      <c r="B129" s="9"/>
      <c r="C129" s="1">
        <f>354.26</f>
        <v>354.26</v>
      </c>
      <c r="E129" s="34">
        <v>0</v>
      </c>
      <c r="G129" s="34">
        <f>736.17</f>
        <v>736.17</v>
      </c>
      <c r="I129" s="34">
        <f>608.83</f>
        <v>608.83000000000004</v>
      </c>
      <c r="K129" s="60">
        <f>534.21</f>
        <v>534.21</v>
      </c>
      <c r="M129" s="11">
        <f t="shared" si="7"/>
        <v>2233.4699999999998</v>
      </c>
    </row>
    <row r="130" spans="1:13" ht="15.75" x14ac:dyDescent="0.3">
      <c r="A130" s="130" t="s">
        <v>125</v>
      </c>
      <c r="B130" s="9"/>
      <c r="C130" s="1">
        <v>0</v>
      </c>
      <c r="E130" s="34">
        <f>46.68+22.9+21.06+4.95</f>
        <v>95.59</v>
      </c>
      <c r="G130" s="34">
        <f>4.95+24.75+4.95+34.39+13.67</f>
        <v>82.71</v>
      </c>
      <c r="I130" s="34">
        <v>0</v>
      </c>
      <c r="K130" s="60">
        <f>4.95+305.66</f>
        <v>310.61</v>
      </c>
      <c r="M130" s="11">
        <f t="shared" si="7"/>
        <v>488.91</v>
      </c>
    </row>
    <row r="131" spans="1:13" ht="15.75" x14ac:dyDescent="0.3">
      <c r="A131" s="130" t="s">
        <v>126</v>
      </c>
      <c r="B131" s="9"/>
      <c r="C131" s="1">
        <v>0</v>
      </c>
      <c r="E131" s="34">
        <f>5.73+69+91.98+116.73+161.2+10.12+2.43</f>
        <v>457.19</v>
      </c>
      <c r="G131" s="34">
        <f>103.27+7.69</f>
        <v>110.96</v>
      </c>
      <c r="I131" s="34">
        <f>17.7+15+4.5</f>
        <v>37.200000000000003</v>
      </c>
      <c r="K131" s="60">
        <f>97.79+24.31+131.8</f>
        <v>253.90000000000003</v>
      </c>
      <c r="M131" s="11">
        <f t="shared" si="7"/>
        <v>859.25</v>
      </c>
    </row>
    <row r="132" spans="1:13" ht="15.75" x14ac:dyDescent="0.3">
      <c r="A132" s="134" t="s">
        <v>32</v>
      </c>
      <c r="B132" s="32"/>
      <c r="C132" s="81">
        <f>SUM(C127:C131)</f>
        <v>354.26</v>
      </c>
      <c r="D132" s="32"/>
      <c r="E132" s="81">
        <f>SUM(E127:E131)</f>
        <v>11790.540000000003</v>
      </c>
      <c r="F132" s="32"/>
      <c r="G132" s="81">
        <f>SUM(G127:G131)</f>
        <v>5284.7400000000007</v>
      </c>
      <c r="H132" s="32"/>
      <c r="I132" s="81">
        <f>SUM(I127:I131)</f>
        <v>2982.5699999999997</v>
      </c>
      <c r="J132" s="32"/>
      <c r="K132" s="81">
        <f>SUM(K127:K131)</f>
        <v>6358.41</v>
      </c>
      <c r="L132" s="32"/>
      <c r="M132" s="79">
        <f>SUM(C132+E132+G132+I132+K132)</f>
        <v>26770.520000000004</v>
      </c>
    </row>
    <row r="133" spans="1:13" ht="15.75" x14ac:dyDescent="0.3">
      <c r="A133" s="127" t="s">
        <v>152</v>
      </c>
      <c r="B133" s="9"/>
      <c r="C133" s="14"/>
      <c r="E133" s="69"/>
      <c r="G133" s="69"/>
      <c r="I133" s="69"/>
      <c r="K133" s="60"/>
      <c r="M133" s="76"/>
    </row>
    <row r="134" spans="1:13" ht="15.75" x14ac:dyDescent="0.3">
      <c r="A134" s="130" t="s">
        <v>140</v>
      </c>
      <c r="B134" s="9"/>
      <c r="C134" s="1">
        <f>1570.15+1384.78</f>
        <v>2954.9300000000003</v>
      </c>
      <c r="E134" s="34">
        <f>2074.74+539.82+145.56+162.16</f>
        <v>2922.2799999999997</v>
      </c>
      <c r="G134" s="34">
        <f>619.19+607.85+34.87+138.17+241.85</f>
        <v>1641.9299999999998</v>
      </c>
      <c r="I134" s="34">
        <f>613.54+25.58+17.72+39.92</f>
        <v>696.76</v>
      </c>
      <c r="K134" s="60">
        <f>296.76+159.31+165.6</f>
        <v>621.66999999999996</v>
      </c>
      <c r="M134" s="11">
        <f>SUM(C134+E134+G134+I134+K134)</f>
        <v>8837.57</v>
      </c>
    </row>
    <row r="135" spans="1:13" ht="15.75" x14ac:dyDescent="0.3">
      <c r="A135" s="130" t="s">
        <v>141</v>
      </c>
      <c r="B135" s="9"/>
      <c r="C135" s="1">
        <f>1440.39</f>
        <v>1440.39</v>
      </c>
      <c r="E135" s="34">
        <f>495.74</f>
        <v>495.74</v>
      </c>
      <c r="G135" s="34">
        <v>0</v>
      </c>
      <c r="I135" s="34">
        <f>144+1570.37</f>
        <v>1714.37</v>
      </c>
      <c r="K135" s="60">
        <v>0</v>
      </c>
      <c r="M135" s="11">
        <f t="shared" ref="M135:M136" si="8">SUM(C135+E135+G135+I135+K135)</f>
        <v>3650.5</v>
      </c>
    </row>
    <row r="136" spans="1:13" ht="15.75" x14ac:dyDescent="0.3">
      <c r="A136" s="130" t="s">
        <v>78</v>
      </c>
      <c r="B136" s="9"/>
      <c r="C136" s="1">
        <v>0</v>
      </c>
      <c r="E136" s="34">
        <v>0</v>
      </c>
      <c r="G136" s="34">
        <v>0</v>
      </c>
      <c r="I136" s="34">
        <v>0</v>
      </c>
      <c r="K136" s="60">
        <v>0</v>
      </c>
      <c r="M136" s="11">
        <f t="shared" si="8"/>
        <v>0</v>
      </c>
    </row>
    <row r="137" spans="1:13" ht="15.75" x14ac:dyDescent="0.3">
      <c r="A137" s="130"/>
      <c r="B137" s="32"/>
      <c r="C137" s="81">
        <f>SUM(C134:C136)</f>
        <v>4395.3200000000006</v>
      </c>
      <c r="D137" s="32"/>
      <c r="E137" s="81">
        <f>SUM(E134:E136)</f>
        <v>3418.0199999999995</v>
      </c>
      <c r="F137" s="32"/>
      <c r="G137" s="81">
        <f>SUM(G134:G136)</f>
        <v>1641.9299999999998</v>
      </c>
      <c r="H137" s="32"/>
      <c r="I137" s="81">
        <f>SUM(I134:I136)</f>
        <v>2411.13</v>
      </c>
      <c r="J137" s="32"/>
      <c r="K137" s="81">
        <f>SUM(K134:K135)</f>
        <v>621.66999999999996</v>
      </c>
      <c r="L137" s="32"/>
      <c r="M137" s="79">
        <f>SUM(C137+E137+G137+I137+K137)</f>
        <v>12488.070000000002</v>
      </c>
    </row>
    <row r="138" spans="1:13" ht="15.75" x14ac:dyDescent="0.3">
      <c r="A138" s="130"/>
      <c r="B138" s="32"/>
      <c r="C138" s="69"/>
      <c r="D138" s="32"/>
      <c r="E138" s="69"/>
      <c r="F138" s="32"/>
      <c r="G138" s="69"/>
      <c r="H138" s="32"/>
      <c r="I138" s="69"/>
      <c r="J138" s="32"/>
      <c r="K138" s="69"/>
      <c r="L138" s="32"/>
      <c r="M138" s="76"/>
    </row>
    <row r="139" spans="1:13" ht="16.5" x14ac:dyDescent="0.3">
      <c r="A139" s="127" t="s">
        <v>127</v>
      </c>
      <c r="B139" s="9"/>
      <c r="C139" s="1"/>
      <c r="E139" s="34"/>
      <c r="G139" s="34"/>
      <c r="I139" s="34"/>
      <c r="K139" s="60"/>
      <c r="M139" s="93">
        <v>3</v>
      </c>
    </row>
    <row r="140" spans="1:13" ht="15.75" x14ac:dyDescent="0.3">
      <c r="A140" s="130" t="s">
        <v>226</v>
      </c>
      <c r="B140" s="9"/>
      <c r="C140" s="1">
        <f>418.33+672.21+2803.05+983.04+618.78+329.6+288.96+689.75+261.17+252+180+779.4+206.42</f>
        <v>8482.7100000000009</v>
      </c>
      <c r="E140" s="34">
        <f>72.25+35.2+67.26+56.13+3813.89+236+5525.6+2510.77+5015.81+2678.66</f>
        <v>20011.57</v>
      </c>
      <c r="G140" s="34">
        <f>4012.93+171.5+577.92+1737.88+1762.97+3375.76+3430.31</f>
        <v>15069.27</v>
      </c>
      <c r="I140" s="34">
        <f>34.93+6.85+9.98+2754.44</f>
        <v>2806.2000000000003</v>
      </c>
      <c r="K140" s="60">
        <f>5456.74+87.52+5354.02+17.85</f>
        <v>10916.130000000001</v>
      </c>
      <c r="M140" s="11">
        <f>SUM(C140+E140+G140+I140+K140)</f>
        <v>57285.880000000005</v>
      </c>
    </row>
    <row r="141" spans="1:13" ht="15.75" x14ac:dyDescent="0.3">
      <c r="A141" s="128" t="s">
        <v>77</v>
      </c>
      <c r="B141" s="9"/>
      <c r="C141" s="1">
        <v>0</v>
      </c>
      <c r="E141" s="34">
        <v>0</v>
      </c>
      <c r="G141" s="34">
        <v>0</v>
      </c>
      <c r="I141" s="34">
        <v>0</v>
      </c>
      <c r="K141" s="60">
        <v>0</v>
      </c>
      <c r="M141" s="11">
        <f t="shared" ref="M141:M142" si="9">SUM(C141+E141+G141+I141+K141)</f>
        <v>0</v>
      </c>
    </row>
    <row r="142" spans="1:13" ht="15.75" x14ac:dyDescent="0.3">
      <c r="A142" s="130" t="s">
        <v>225</v>
      </c>
      <c r="B142" s="9"/>
      <c r="C142" s="1">
        <v>0</v>
      </c>
      <c r="E142" s="34">
        <f>2250</f>
        <v>2250</v>
      </c>
      <c r="G142" s="34">
        <v>0</v>
      </c>
      <c r="I142" s="34">
        <f>2025</f>
        <v>2025</v>
      </c>
      <c r="K142" s="60">
        <f>23.39</f>
        <v>23.39</v>
      </c>
      <c r="M142" s="11">
        <f t="shared" si="9"/>
        <v>4298.3900000000003</v>
      </c>
    </row>
    <row r="143" spans="1:13" ht="15.75" x14ac:dyDescent="0.3">
      <c r="A143" s="134" t="s">
        <v>32</v>
      </c>
      <c r="B143" s="32"/>
      <c r="C143" s="81">
        <f>SUM(C140:C142)</f>
        <v>8482.7100000000009</v>
      </c>
      <c r="D143" s="32"/>
      <c r="E143" s="81">
        <f>SUM(E140:E142)</f>
        <v>22261.57</v>
      </c>
      <c r="F143" s="32"/>
      <c r="G143" s="81">
        <f>SUM(G140:G142)</f>
        <v>15069.27</v>
      </c>
      <c r="H143" s="32"/>
      <c r="I143" s="81">
        <f>SUM(I140:I142)</f>
        <v>4831.2000000000007</v>
      </c>
      <c r="J143" s="32"/>
      <c r="K143" s="81">
        <f>SUM(K140:K142)</f>
        <v>10939.52</v>
      </c>
      <c r="L143" s="32"/>
      <c r="M143" s="79">
        <f>SUM(C143+E143+G143+I143+K143)</f>
        <v>61584.270000000004</v>
      </c>
    </row>
    <row r="144" spans="1:13" ht="15.75" x14ac:dyDescent="0.3">
      <c r="A144" s="127" t="s">
        <v>154</v>
      </c>
      <c r="B144" s="9"/>
      <c r="C144" s="1"/>
      <c r="E144" s="34"/>
      <c r="G144" s="34"/>
      <c r="I144" s="34"/>
      <c r="K144" s="60"/>
      <c r="M144" s="76"/>
    </row>
    <row r="145" spans="1:13" ht="15.75" x14ac:dyDescent="0.3">
      <c r="A145" s="130" t="s">
        <v>80</v>
      </c>
      <c r="B145" s="9"/>
      <c r="C145" s="1">
        <v>0</v>
      </c>
      <c r="E145" s="34">
        <f>800+90+340</f>
        <v>1230</v>
      </c>
      <c r="G145" s="34">
        <v>0</v>
      </c>
      <c r="I145" s="34">
        <f>291.78+516</f>
        <v>807.78</v>
      </c>
      <c r="K145" s="60">
        <v>0</v>
      </c>
      <c r="M145" s="11">
        <f>SUM(C145+E145+G145+I145+K145)</f>
        <v>2037.78</v>
      </c>
    </row>
    <row r="146" spans="1:13" ht="15.75" x14ac:dyDescent="0.3">
      <c r="A146" s="130" t="s">
        <v>79</v>
      </c>
      <c r="B146" s="9"/>
      <c r="C146" s="1">
        <f>833+200+60+14</f>
        <v>1107</v>
      </c>
      <c r="E146" s="34">
        <f>300+1754.36</f>
        <v>2054.3599999999997</v>
      </c>
      <c r="G146" s="34">
        <f>250+291</f>
        <v>541</v>
      </c>
      <c r="I146" s="34">
        <f>47.94+7.48</f>
        <v>55.42</v>
      </c>
      <c r="K146" s="60">
        <v>0</v>
      </c>
      <c r="M146" s="11">
        <f t="shared" ref="M146:M148" si="10">SUM(C146+E146+G146+I146+K146)</f>
        <v>3757.7799999999997</v>
      </c>
    </row>
    <row r="147" spans="1:13" ht="15.75" x14ac:dyDescent="0.3">
      <c r="A147" s="128" t="s">
        <v>129</v>
      </c>
      <c r="B147" s="9"/>
      <c r="C147" s="1">
        <f>107</f>
        <v>107</v>
      </c>
      <c r="E147" s="34">
        <f>400</f>
        <v>400</v>
      </c>
      <c r="G147" s="34">
        <f>1700</f>
        <v>1700</v>
      </c>
      <c r="I147" s="34">
        <f>1700</f>
        <v>1700</v>
      </c>
      <c r="K147" s="60">
        <v>0</v>
      </c>
      <c r="M147" s="11">
        <f t="shared" si="10"/>
        <v>3907</v>
      </c>
    </row>
    <row r="148" spans="1:13" ht="15.75" x14ac:dyDescent="0.3">
      <c r="A148" s="128" t="s">
        <v>227</v>
      </c>
      <c r="B148" s="9"/>
      <c r="C148" s="1">
        <v>0</v>
      </c>
      <c r="E148" s="34">
        <v>0</v>
      </c>
      <c r="G148" s="34">
        <v>1500</v>
      </c>
      <c r="I148" s="34">
        <v>1500</v>
      </c>
      <c r="K148" s="60">
        <v>1500</v>
      </c>
      <c r="M148" s="11">
        <f t="shared" si="10"/>
        <v>4500</v>
      </c>
    </row>
    <row r="149" spans="1:13" ht="15.75" x14ac:dyDescent="0.3">
      <c r="A149" s="134" t="s">
        <v>32</v>
      </c>
      <c r="B149" s="32"/>
      <c r="C149" s="81">
        <f>SUM(C145:C148)</f>
        <v>1214</v>
      </c>
      <c r="D149" s="32"/>
      <c r="E149" s="81">
        <f>SUM(E145:E148)</f>
        <v>3684.3599999999997</v>
      </c>
      <c r="F149" s="32"/>
      <c r="G149" s="81">
        <f>SUM(G145:G148)</f>
        <v>3741</v>
      </c>
      <c r="H149" s="32"/>
      <c r="I149" s="81">
        <f>SUM(I145:I148)</f>
        <v>4063.2</v>
      </c>
      <c r="J149" s="32"/>
      <c r="K149" s="81">
        <f>SUM(K145:K148)</f>
        <v>1500</v>
      </c>
      <c r="L149" s="32"/>
      <c r="M149" s="79">
        <f>SUM(C149+E149+G149+I149+K149)</f>
        <v>14202.560000000001</v>
      </c>
    </row>
    <row r="150" spans="1:13" ht="15.75" x14ac:dyDescent="0.3">
      <c r="A150" s="127" t="s">
        <v>84</v>
      </c>
      <c r="B150" s="9"/>
      <c r="C150" s="34"/>
      <c r="D150" s="31"/>
      <c r="E150" s="34"/>
      <c r="F150" s="31"/>
      <c r="G150" s="34"/>
      <c r="H150" s="31"/>
      <c r="I150" s="34"/>
      <c r="J150" s="31"/>
      <c r="K150" s="78"/>
      <c r="L150" s="31"/>
      <c r="M150" s="76"/>
    </row>
    <row r="151" spans="1:13" ht="15.75" x14ac:dyDescent="0.3">
      <c r="A151" s="128" t="s">
        <v>85</v>
      </c>
      <c r="B151" s="9"/>
      <c r="C151" s="1">
        <f>13.55+29.9+6.63+40+13.55+6.63+4.2+22+21.5+64.6+53.09</f>
        <v>275.64999999999998</v>
      </c>
      <c r="E151" s="34">
        <f>21.9+5.76+29.9+13.55+7.09+2.1+22+3.4+3.78+61.2+52.05+106.5</f>
        <v>329.23</v>
      </c>
      <c r="G151" s="34">
        <f>4.2+22+57.8+52.46+29.9+40+13.55+21.9</f>
        <v>241.81000000000003</v>
      </c>
      <c r="I151" s="34">
        <f>20.3+41.4+1.7+22.1+4+6.8+1.7+2+1.7+0.85+2+0.85+66+0.85+29.9+6.45+4.2+2.55+12+0.85+0.85+0.85+13.6+16+1.7+22+0.85+2+2+2+1.7+2+2+2.55+2+1.7+0.85+2+38+27+0.85+2+2+0.85</f>
        <v>375.55</v>
      </c>
      <c r="K151" s="60">
        <f>21.9+41.4+2+0.85+2+2+2+2.55+2+2+2+2+8.39+5.57+7.71+29.9+40+0.85+4.2+0.85+121.62+2+2+2+2+2+2+2+2+2+2+2+1.7+29+2+2+2+2+0.85+0.85+2+2+2+2+2</f>
        <v>374.19</v>
      </c>
      <c r="M151" s="11">
        <f t="shared" ref="M151:M154" si="11">SUM(C151:K151)</f>
        <v>1596.43</v>
      </c>
    </row>
    <row r="152" spans="1:13" ht="15.75" x14ac:dyDescent="0.3">
      <c r="A152" s="128" t="s">
        <v>86</v>
      </c>
      <c r="B152" s="9"/>
      <c r="C152" s="1">
        <v>0</v>
      </c>
      <c r="E152" s="34">
        <v>0</v>
      </c>
      <c r="G152" s="34">
        <v>594.99</v>
      </c>
      <c r="I152" s="34">
        <v>0</v>
      </c>
      <c r="K152" s="60">
        <v>0</v>
      </c>
      <c r="M152" s="11">
        <f t="shared" si="11"/>
        <v>594.99</v>
      </c>
    </row>
    <row r="153" spans="1:13" ht="15.75" x14ac:dyDescent="0.3">
      <c r="A153" s="128" t="s">
        <v>200</v>
      </c>
      <c r="B153" s="9"/>
      <c r="C153" s="1">
        <v>0</v>
      </c>
      <c r="E153" s="34">
        <v>0</v>
      </c>
      <c r="G153" s="34">
        <f>258</f>
        <v>258</v>
      </c>
      <c r="I153" s="34">
        <v>0</v>
      </c>
      <c r="K153" s="60">
        <v>0</v>
      </c>
      <c r="M153" s="11">
        <f t="shared" si="11"/>
        <v>258</v>
      </c>
    </row>
    <row r="154" spans="1:13" ht="15.75" x14ac:dyDescent="0.3">
      <c r="A154" s="128" t="s">
        <v>87</v>
      </c>
      <c r="B154" s="9"/>
      <c r="C154" s="1">
        <f>274.34+900</f>
        <v>1174.3399999999999</v>
      </c>
      <c r="E154" s="34">
        <f>298.6</f>
        <v>298.60000000000002</v>
      </c>
      <c r="G154" s="34">
        <f>298.6</f>
        <v>298.60000000000002</v>
      </c>
      <c r="I154" s="34">
        <f>393.64</f>
        <v>393.64</v>
      </c>
      <c r="K154" s="60">
        <v>0</v>
      </c>
      <c r="M154" s="11">
        <f t="shared" si="11"/>
        <v>2165.1799999999998</v>
      </c>
    </row>
    <row r="155" spans="1:13" ht="15.75" x14ac:dyDescent="0.3">
      <c r="A155" s="134" t="s">
        <v>32</v>
      </c>
      <c r="B155" s="32"/>
      <c r="C155" s="81">
        <f>SUM(C150:C154)</f>
        <v>1449.9899999999998</v>
      </c>
      <c r="D155" s="32"/>
      <c r="E155" s="81">
        <f>SUM(E150:E154)</f>
        <v>627.83000000000004</v>
      </c>
      <c r="F155" s="32"/>
      <c r="G155" s="81">
        <f>SUM(G150:G154)</f>
        <v>1393.4</v>
      </c>
      <c r="H155" s="32"/>
      <c r="I155" s="81">
        <f>SUM(I150:I154)</f>
        <v>769.19</v>
      </c>
      <c r="J155" s="32"/>
      <c r="K155" s="81">
        <f>SUM(K150:K154)</f>
        <v>374.19</v>
      </c>
      <c r="L155" s="32"/>
      <c r="M155" s="79">
        <f>SUM(C155+E155+G155+I155+K155)</f>
        <v>4614.5999999999995</v>
      </c>
    </row>
    <row r="156" spans="1:13" s="31" customFormat="1" ht="15.75" x14ac:dyDescent="0.3">
      <c r="A156" s="118"/>
      <c r="B156" s="32"/>
      <c r="C156" s="69"/>
      <c r="D156" s="32"/>
      <c r="E156" s="69"/>
      <c r="F156" s="32"/>
      <c r="G156" s="69"/>
      <c r="H156" s="32"/>
      <c r="I156" s="69"/>
      <c r="J156" s="32"/>
      <c r="K156" s="69"/>
      <c r="L156" s="32"/>
      <c r="M156" s="76"/>
    </row>
    <row r="157" spans="1:13" ht="15.75" x14ac:dyDescent="0.3">
      <c r="A157" s="134" t="s">
        <v>32</v>
      </c>
      <c r="B157" s="32"/>
      <c r="C157" s="81">
        <f>SUM(C155+C149+C143+C137+C132+C125+C89+C82+C75+C72+C67+C59+C54)</f>
        <v>163049.38500000001</v>
      </c>
      <c r="D157" s="32"/>
      <c r="E157" s="81">
        <f>SUM(E155+E149+E143+E137+E132+E125+E89+E82+E75+E72+E67+E59+E54)</f>
        <v>266987.85000000003</v>
      </c>
      <c r="F157" s="32"/>
      <c r="G157" s="81">
        <f>SUM(G155+G149+G143+G137+G132+G125+G89+G82+G75+G72+G67+G59+G54)</f>
        <v>187754.40000000002</v>
      </c>
      <c r="H157" s="32"/>
      <c r="I157" s="81">
        <f>SUM(I155+I149+I143+I137+I132+I125+I89+I82+I75+I72+I67+I59+I54)</f>
        <v>192645.00999999998</v>
      </c>
      <c r="J157" s="32"/>
      <c r="K157" s="81">
        <f>SUM(K155+K149+K143+K137+K132+K125+K89+K82+K75+K72+K67+K59+K54)</f>
        <v>218442.97</v>
      </c>
      <c r="L157" s="32"/>
      <c r="M157" s="79">
        <f>SUM(M54+M59+M67+M72+M75+M82+M89+M125+M132+M137+M143+M149+M155)</f>
        <v>1028879.6150000001</v>
      </c>
    </row>
    <row r="158" spans="1:13" s="31" customFormat="1" ht="15.75" x14ac:dyDescent="0.3">
      <c r="A158" s="118"/>
      <c r="B158" s="32"/>
      <c r="C158" s="69"/>
      <c r="D158" s="32"/>
      <c r="E158" s="69"/>
      <c r="F158" s="32"/>
      <c r="G158" s="69"/>
      <c r="H158" s="32"/>
      <c r="I158" s="69"/>
      <c r="J158" s="32"/>
      <c r="K158" s="69"/>
      <c r="L158" s="32"/>
      <c r="M158" s="76"/>
    </row>
    <row r="159" spans="1:13" s="31" customFormat="1" ht="15.75" hidden="1" x14ac:dyDescent="0.3">
      <c r="A159" s="119" t="s">
        <v>176</v>
      </c>
      <c r="B159" s="32"/>
      <c r="C159" s="34"/>
      <c r="E159" s="34"/>
      <c r="G159" s="34"/>
      <c r="I159" s="34"/>
      <c r="K159" s="78"/>
      <c r="M159" s="76"/>
    </row>
    <row r="160" spans="1:13" s="31" customFormat="1" ht="15.75" hidden="1" x14ac:dyDescent="0.3">
      <c r="A160" s="120" t="s">
        <v>178</v>
      </c>
      <c r="B160" s="32"/>
      <c r="C160" s="34">
        <v>0</v>
      </c>
      <c r="E160" s="34">
        <v>0</v>
      </c>
      <c r="G160" s="34">
        <v>0</v>
      </c>
      <c r="I160" s="34">
        <f>1850</f>
        <v>1850</v>
      </c>
      <c r="K160" s="78">
        <f>13031.55+2000</f>
        <v>15031.55</v>
      </c>
      <c r="M160" s="76">
        <f>SUM(C160+E160+G160+I160+K160)</f>
        <v>16881.55</v>
      </c>
    </row>
    <row r="161" spans="1:13" s="31" customFormat="1" ht="15.75" hidden="1" x14ac:dyDescent="0.3">
      <c r="A161" s="120" t="s">
        <v>177</v>
      </c>
      <c r="B161" s="32"/>
      <c r="C161" s="34">
        <v>0</v>
      </c>
      <c r="E161" s="34">
        <v>0</v>
      </c>
      <c r="G161" s="34">
        <v>0</v>
      </c>
      <c r="I161" s="34">
        <v>0</v>
      </c>
      <c r="K161" s="78">
        <v>0</v>
      </c>
      <c r="M161" s="76">
        <f t="shared" ref="M161:M167" si="12">SUM(C161+E161+G161+I161+K161)</f>
        <v>0</v>
      </c>
    </row>
    <row r="162" spans="1:13" s="31" customFormat="1" ht="15.75" hidden="1" x14ac:dyDescent="0.3">
      <c r="A162" s="120" t="s">
        <v>228</v>
      </c>
      <c r="B162" s="32"/>
      <c r="C162" s="34">
        <v>2122.41</v>
      </c>
      <c r="E162" s="34">
        <v>0</v>
      </c>
      <c r="G162" s="34">
        <v>0</v>
      </c>
      <c r="I162" s="34">
        <v>0</v>
      </c>
      <c r="K162" s="78">
        <v>0</v>
      </c>
      <c r="M162" s="76">
        <f t="shared" si="12"/>
        <v>2122.41</v>
      </c>
    </row>
    <row r="163" spans="1:13" s="31" customFormat="1" ht="15.75" hidden="1" x14ac:dyDescent="0.3">
      <c r="A163" s="120" t="s">
        <v>192</v>
      </c>
      <c r="B163" s="32"/>
      <c r="C163" s="34">
        <f>7500</f>
        <v>7500</v>
      </c>
      <c r="E163" s="34">
        <v>0</v>
      </c>
      <c r="G163" s="34">
        <v>0</v>
      </c>
      <c r="I163" s="34">
        <v>0</v>
      </c>
      <c r="K163" s="78">
        <v>0</v>
      </c>
      <c r="M163" s="76">
        <f t="shared" si="12"/>
        <v>7500</v>
      </c>
    </row>
    <row r="164" spans="1:13" s="31" customFormat="1" ht="15.75" hidden="1" x14ac:dyDescent="0.3">
      <c r="A164" s="120" t="s">
        <v>184</v>
      </c>
      <c r="B164" s="32"/>
      <c r="C164" s="34">
        <f>150</f>
        <v>150</v>
      </c>
      <c r="E164" s="34">
        <v>0</v>
      </c>
      <c r="G164" s="34">
        <v>0</v>
      </c>
      <c r="I164" s="34">
        <v>0</v>
      </c>
      <c r="K164" s="78">
        <v>0</v>
      </c>
      <c r="M164" s="76">
        <f t="shared" si="12"/>
        <v>150</v>
      </c>
    </row>
    <row r="165" spans="1:13" s="31" customFormat="1" ht="15.75" hidden="1" x14ac:dyDescent="0.3">
      <c r="A165" s="120" t="s">
        <v>180</v>
      </c>
      <c r="B165" s="32"/>
      <c r="C165" s="34">
        <f>452+307</f>
        <v>759</v>
      </c>
      <c r="E165" s="34">
        <f>21.9</f>
        <v>21.9</v>
      </c>
      <c r="G165" s="34">
        <v>0</v>
      </c>
      <c r="I165" s="34">
        <v>0</v>
      </c>
      <c r="K165" s="78">
        <v>0</v>
      </c>
      <c r="M165" s="76">
        <f t="shared" si="12"/>
        <v>780.9</v>
      </c>
    </row>
    <row r="166" spans="1:13" s="31" customFormat="1" ht="15.75" hidden="1" x14ac:dyDescent="0.3">
      <c r="A166" s="120" t="s">
        <v>194</v>
      </c>
      <c r="B166" s="32"/>
      <c r="C166" s="34">
        <v>0</v>
      </c>
      <c r="E166" s="34">
        <f>149.87</f>
        <v>149.87</v>
      </c>
      <c r="G166" s="34">
        <v>0</v>
      </c>
      <c r="I166" s="34">
        <v>0</v>
      </c>
      <c r="K166" s="78">
        <v>0</v>
      </c>
      <c r="M166" s="76">
        <f t="shared" si="12"/>
        <v>149.87</v>
      </c>
    </row>
    <row r="167" spans="1:13" s="31" customFormat="1" ht="15.75" hidden="1" x14ac:dyDescent="0.3">
      <c r="A167" s="120" t="s">
        <v>203</v>
      </c>
      <c r="B167" s="32"/>
      <c r="C167" s="34">
        <v>0</v>
      </c>
      <c r="E167" s="34">
        <v>0</v>
      </c>
      <c r="G167" s="34">
        <v>0</v>
      </c>
      <c r="I167" s="34">
        <f>1426.35</f>
        <v>1426.35</v>
      </c>
      <c r="K167" s="78">
        <v>0</v>
      </c>
      <c r="M167" s="76">
        <f t="shared" si="12"/>
        <v>1426.35</v>
      </c>
    </row>
    <row r="168" spans="1:13" s="31" customFormat="1" ht="15.75" hidden="1" x14ac:dyDescent="0.3">
      <c r="A168" s="118" t="s">
        <v>32</v>
      </c>
      <c r="B168" s="32"/>
      <c r="C168" s="69">
        <f>SUM(C160:C167)</f>
        <v>10531.41</v>
      </c>
      <c r="D168" s="32"/>
      <c r="E168" s="69">
        <f>SUM(E160:E167)</f>
        <v>171.77</v>
      </c>
      <c r="F168" s="32"/>
      <c r="G168" s="69">
        <f>SUM(G160:G167)</f>
        <v>0</v>
      </c>
      <c r="H168" s="32"/>
      <c r="I168" s="69">
        <f>SUM(I160:I167)</f>
        <v>3276.35</v>
      </c>
      <c r="J168" s="32"/>
      <c r="K168" s="69">
        <f>SUM(K160:K167)</f>
        <v>15031.55</v>
      </c>
      <c r="L168" s="32"/>
      <c r="M168" s="76">
        <f>SUM(C168+E168+G168+I168+K168)</f>
        <v>29011.08</v>
      </c>
    </row>
    <row r="169" spans="1:13" s="31" customFormat="1" hidden="1" x14ac:dyDescent="0.25">
      <c r="A169" s="121"/>
      <c r="K169" s="80"/>
    </row>
    <row r="170" spans="1:13" s="31" customFormat="1" ht="15.75" hidden="1" x14ac:dyDescent="0.3">
      <c r="A170" s="118" t="s">
        <v>32</v>
      </c>
      <c r="B170" s="32"/>
      <c r="C170" s="69">
        <f>SUM(C168+C155+C149+C143+C137+C132+C125+C89+C82+C75+C72+C67+C59+C54)</f>
        <v>173580.79500000001</v>
      </c>
      <c r="D170" s="32"/>
      <c r="E170" s="69">
        <f>SUM(E168+E155+E149+E143+E137+E132+E125+E89+E82+E75+E72+E67+E59+E54)</f>
        <v>267159.62000000005</v>
      </c>
      <c r="F170" s="32"/>
      <c r="G170" s="69">
        <f>SUM(G168+G155+G149+G143+G137+G132+G125+G89+G82+G75+G72+G67+G59+G54)</f>
        <v>187754.40000000002</v>
      </c>
      <c r="H170" s="32"/>
      <c r="I170" s="69">
        <f>SUM(I168+I155+I149+I143+I137+I132+I125+I89+I82+I75+I72+I67+I59+I54)</f>
        <v>195921.36</v>
      </c>
      <c r="J170" s="32"/>
      <c r="K170" s="69">
        <f>SUM(K168+K155+K149+K143+K137+K132+K125+K89+K82+K75+K72+K67+K59+K54)</f>
        <v>233474.52000000002</v>
      </c>
      <c r="L170" s="32"/>
      <c r="M170" s="76">
        <f>SUM(M54+M59+M67+M72+M75+M82+M89+M125+M132+M137+M143+M149+M155+M168)</f>
        <v>1057890.6950000001</v>
      </c>
    </row>
    <row r="171" spans="1:13" s="31" customFormat="1" hidden="1" x14ac:dyDescent="0.25">
      <c r="A171" s="121"/>
      <c r="K171" s="80"/>
    </row>
    <row r="172" spans="1:13" s="31" customFormat="1" hidden="1" x14ac:dyDescent="0.25">
      <c r="A172" s="121"/>
      <c r="K172" s="80"/>
    </row>
  </sheetData>
  <mergeCells count="2">
    <mergeCell ref="C2:K2"/>
    <mergeCell ref="C3:K3"/>
  </mergeCells>
  <conditionalFormatting sqref="A53">
    <cfRule type="dataBar" priority="91">
      <dataBar>
        <cfvo type="min"/>
        <cfvo type="max"/>
        <color theme="0"/>
      </dataBar>
    </cfRule>
    <cfRule type="dataBar" priority="92">
      <dataBar>
        <cfvo type="min"/>
        <cfvo type="max"/>
        <color theme="0"/>
      </dataBar>
    </cfRule>
  </conditionalFormatting>
  <conditionalFormatting sqref="A90">
    <cfRule type="dataBar" priority="89">
      <dataBar>
        <cfvo type="min"/>
        <cfvo type="max"/>
        <color theme="0"/>
      </dataBar>
    </cfRule>
    <cfRule type="dataBar" priority="90">
      <dataBar>
        <cfvo type="min"/>
        <cfvo type="max"/>
        <color theme="0"/>
      </dataBar>
    </cfRule>
  </conditionalFormatting>
  <conditionalFormatting sqref="A92">
    <cfRule type="dataBar" priority="87">
      <dataBar>
        <cfvo type="min"/>
        <cfvo type="max"/>
        <color theme="0"/>
      </dataBar>
    </cfRule>
    <cfRule type="dataBar" priority="88">
      <dataBar>
        <cfvo type="min"/>
        <cfvo type="max"/>
        <color theme="0"/>
      </dataBar>
    </cfRule>
  </conditionalFormatting>
  <conditionalFormatting sqref="A115">
    <cfRule type="dataBar" priority="85">
      <dataBar>
        <cfvo type="min"/>
        <cfvo type="max"/>
        <color theme="0"/>
      </dataBar>
    </cfRule>
    <cfRule type="dataBar" priority="86">
      <dataBar>
        <cfvo type="min"/>
        <cfvo type="max"/>
        <color theme="0"/>
      </dataBar>
    </cfRule>
  </conditionalFormatting>
  <conditionalFormatting sqref="A132:A133">
    <cfRule type="dataBar" priority="83">
      <dataBar>
        <cfvo type="min"/>
        <cfvo type="max"/>
        <color theme="0"/>
      </dataBar>
    </cfRule>
    <cfRule type="dataBar" priority="84">
      <dataBar>
        <cfvo type="min"/>
        <cfvo type="max"/>
        <color theme="0"/>
      </dataBar>
    </cfRule>
  </conditionalFormatting>
  <conditionalFormatting sqref="A132:A133">
    <cfRule type="dataBar" priority="80">
      <dataBar>
        <cfvo type="min"/>
        <cfvo type="max"/>
        <color rgb="FFFF555A"/>
      </dataBar>
    </cfRule>
    <cfRule type="iconSet" priority="81">
      <iconSet iconSet="4TrafficLights">
        <cfvo type="percent" val="0"/>
        <cfvo type="percent" val="25"/>
        <cfvo type="percent" val="50"/>
        <cfvo type="percent" val="75"/>
      </iconSet>
    </cfRule>
    <cfRule type="dataBar" priority="82">
      <dataBar>
        <cfvo type="min"/>
        <cfvo type="max"/>
        <color rgb="FF638EC6"/>
      </dataBar>
    </cfRule>
  </conditionalFormatting>
  <conditionalFormatting sqref="A139">
    <cfRule type="dataBar" priority="78">
      <dataBar>
        <cfvo type="min"/>
        <cfvo type="max"/>
        <color theme="0"/>
      </dataBar>
    </cfRule>
    <cfRule type="dataBar" priority="79">
      <dataBar>
        <cfvo type="min"/>
        <cfvo type="max"/>
        <color theme="0"/>
      </dataBar>
    </cfRule>
  </conditionalFormatting>
  <conditionalFormatting sqref="A139">
    <cfRule type="dataBar" priority="75">
      <dataBar>
        <cfvo type="min"/>
        <cfvo type="max"/>
        <color rgb="FFFF555A"/>
      </dataBar>
    </cfRule>
    <cfRule type="iconSet" priority="76">
      <iconSet iconSet="4TrafficLights">
        <cfvo type="percent" val="0"/>
        <cfvo type="percent" val="25"/>
        <cfvo type="percent" val="50"/>
        <cfvo type="percent" val="75"/>
      </iconSet>
    </cfRule>
    <cfRule type="dataBar" priority="77">
      <dataBar>
        <cfvo type="min"/>
        <cfvo type="max"/>
        <color rgb="FF638EC6"/>
      </dataBar>
    </cfRule>
  </conditionalFormatting>
  <conditionalFormatting sqref="A143:A145">
    <cfRule type="dataBar" priority="73">
      <dataBar>
        <cfvo type="min"/>
        <cfvo type="max"/>
        <color theme="0"/>
      </dataBar>
    </cfRule>
    <cfRule type="dataBar" priority="74">
      <dataBar>
        <cfvo type="min"/>
        <cfvo type="max"/>
        <color theme="0"/>
      </dataBar>
    </cfRule>
  </conditionalFormatting>
  <conditionalFormatting sqref="A143:A145">
    <cfRule type="dataBar" priority="70">
      <dataBar>
        <cfvo type="min"/>
        <cfvo type="max"/>
        <color rgb="FFFF555A"/>
      </dataBar>
    </cfRule>
    <cfRule type="iconSet" priority="71">
      <iconSet iconSet="4TrafficLights">
        <cfvo type="percent" val="0"/>
        <cfvo type="percent" val="25"/>
        <cfvo type="percent" val="50"/>
        <cfvo type="percent" val="75"/>
      </iconSet>
    </cfRule>
    <cfRule type="dataBar" priority="72">
      <dataBar>
        <cfvo type="min"/>
        <cfvo type="max"/>
        <color rgb="FF638EC6"/>
      </dataBar>
    </cfRule>
  </conditionalFormatting>
  <conditionalFormatting sqref="A144">
    <cfRule type="dataBar" priority="68">
      <dataBar>
        <cfvo type="min"/>
        <cfvo type="max"/>
        <color theme="0"/>
      </dataBar>
    </cfRule>
    <cfRule type="dataBar" priority="69">
      <dataBar>
        <cfvo type="min"/>
        <cfvo type="max"/>
        <color theme="0"/>
      </dataBar>
    </cfRule>
  </conditionalFormatting>
  <conditionalFormatting sqref="A144">
    <cfRule type="dataBar" priority="65">
      <dataBar>
        <cfvo type="min"/>
        <cfvo type="max"/>
        <color rgb="FFFF555A"/>
      </dataBar>
    </cfRule>
    <cfRule type="iconSet" priority="66">
      <iconSet iconSet="4TrafficLights">
        <cfvo type="percent" val="0"/>
        <cfvo type="percent" val="25"/>
        <cfvo type="percent" val="50"/>
        <cfvo type="percent" val="75"/>
      </iconSet>
    </cfRule>
    <cfRule type="dataBar" priority="67">
      <dataBar>
        <cfvo type="min"/>
        <cfvo type="max"/>
        <color rgb="FF638EC6"/>
      </dataBar>
    </cfRule>
  </conditionalFormatting>
  <conditionalFormatting sqref="A148">
    <cfRule type="dataBar" priority="63">
      <dataBar>
        <cfvo type="min"/>
        <cfvo type="max"/>
        <color theme="0"/>
      </dataBar>
    </cfRule>
    <cfRule type="dataBar" priority="64">
      <dataBar>
        <cfvo type="min"/>
        <cfvo type="max"/>
        <color theme="0"/>
      </dataBar>
    </cfRule>
  </conditionalFormatting>
  <conditionalFormatting sqref="A159">
    <cfRule type="dataBar" priority="61">
      <dataBar>
        <cfvo type="min"/>
        <cfvo type="max"/>
        <color theme="0"/>
      </dataBar>
    </cfRule>
    <cfRule type="dataBar" priority="62">
      <dataBar>
        <cfvo type="min"/>
        <cfvo type="max"/>
        <color theme="0"/>
      </dataBar>
    </cfRule>
  </conditionalFormatting>
  <conditionalFormatting sqref="A159">
    <cfRule type="dataBar" priority="58">
      <dataBar>
        <cfvo type="min"/>
        <cfvo type="max"/>
        <color rgb="FFFF555A"/>
      </dataBar>
    </cfRule>
    <cfRule type="iconSet" priority="59">
      <iconSet iconSet="4TrafficLights">
        <cfvo type="percent" val="0"/>
        <cfvo type="percent" val="25"/>
        <cfvo type="percent" val="50"/>
        <cfvo type="percent" val="75"/>
      </iconSet>
    </cfRule>
    <cfRule type="dataBar" priority="60">
      <dataBar>
        <cfvo type="min"/>
        <cfvo type="max"/>
        <color rgb="FF638EC6"/>
      </dataBar>
    </cfRule>
  </conditionalFormatting>
  <conditionalFormatting sqref="A146">
    <cfRule type="dataBar" priority="56">
      <dataBar>
        <cfvo type="min"/>
        <cfvo type="max"/>
        <color theme="0"/>
      </dataBar>
    </cfRule>
    <cfRule type="dataBar" priority="57">
      <dataBar>
        <cfvo type="min"/>
        <cfvo type="max"/>
        <color theme="0"/>
      </dataBar>
    </cfRule>
  </conditionalFormatting>
  <conditionalFormatting sqref="A150:A154">
    <cfRule type="dataBar" priority="54">
      <dataBar>
        <cfvo type="min"/>
        <cfvo type="max"/>
        <color theme="0"/>
      </dataBar>
    </cfRule>
    <cfRule type="dataBar" priority="55">
      <dataBar>
        <cfvo type="min"/>
        <cfvo type="max"/>
        <color theme="0"/>
      </dataBar>
    </cfRule>
  </conditionalFormatting>
  <conditionalFormatting sqref="A149:A158">
    <cfRule type="dataBar" priority="52">
      <dataBar>
        <cfvo type="min"/>
        <cfvo type="max"/>
        <color theme="0"/>
      </dataBar>
    </cfRule>
    <cfRule type="dataBar" priority="53">
      <dataBar>
        <cfvo type="min"/>
        <cfvo type="max"/>
        <color theme="0"/>
      </dataBar>
    </cfRule>
  </conditionalFormatting>
  <conditionalFormatting sqref="A149:A158">
    <cfRule type="dataBar" priority="49">
      <dataBar>
        <cfvo type="min"/>
        <cfvo type="max"/>
        <color rgb="FFFF555A"/>
      </dataBar>
    </cfRule>
    <cfRule type="iconSet" priority="50">
      <iconSet iconSet="4TrafficLights">
        <cfvo type="percent" val="0"/>
        <cfvo type="percent" val="25"/>
        <cfvo type="percent" val="50"/>
        <cfvo type="percent" val="75"/>
      </iconSet>
    </cfRule>
    <cfRule type="dataBar" priority="51">
      <dataBar>
        <cfvo type="min"/>
        <cfvo type="max"/>
        <color rgb="FF638EC6"/>
      </dataBar>
    </cfRule>
  </conditionalFormatting>
  <conditionalFormatting sqref="A126:A158">
    <cfRule type="dataBar" priority="47">
      <dataBar>
        <cfvo type="min"/>
        <cfvo type="max"/>
        <color theme="0"/>
      </dataBar>
    </cfRule>
    <cfRule type="dataBar" priority="48">
      <dataBar>
        <cfvo type="min"/>
        <cfvo type="max"/>
        <color theme="0"/>
      </dataBar>
    </cfRule>
  </conditionalFormatting>
  <conditionalFormatting sqref="A126:A158">
    <cfRule type="dataBar" priority="44">
      <dataBar>
        <cfvo type="min"/>
        <cfvo type="max"/>
        <color rgb="FFFF555A"/>
      </dataBar>
    </cfRule>
    <cfRule type="iconSet" priority="45">
      <iconSet iconSet="4TrafficLights">
        <cfvo type="percent" val="0"/>
        <cfvo type="percent" val="25"/>
        <cfvo type="percent" val="50"/>
        <cfvo type="percent" val="75"/>
      </iconSet>
    </cfRule>
    <cfRule type="dataBar" priority="46">
      <dataBar>
        <cfvo type="min"/>
        <cfvo type="max"/>
        <color rgb="FF638EC6"/>
      </dataBar>
    </cfRule>
  </conditionalFormatting>
  <conditionalFormatting sqref="A159:A167">
    <cfRule type="dataBar" priority="42">
      <dataBar>
        <cfvo type="min"/>
        <cfvo type="max"/>
        <color theme="0"/>
      </dataBar>
    </cfRule>
    <cfRule type="dataBar" priority="43">
      <dataBar>
        <cfvo type="min"/>
        <cfvo type="max"/>
        <color theme="0"/>
      </dataBar>
    </cfRule>
  </conditionalFormatting>
  <conditionalFormatting sqref="A168">
    <cfRule type="dataBar" priority="40">
      <dataBar>
        <cfvo type="min"/>
        <cfvo type="max"/>
        <color theme="0"/>
      </dataBar>
    </cfRule>
    <cfRule type="dataBar" priority="41">
      <dataBar>
        <cfvo type="min"/>
        <cfvo type="max"/>
        <color theme="0"/>
      </dataBar>
    </cfRule>
  </conditionalFormatting>
  <conditionalFormatting sqref="A168">
    <cfRule type="dataBar" priority="37">
      <dataBar>
        <cfvo type="min"/>
        <cfvo type="max"/>
        <color rgb="FFFF555A"/>
      </dataBar>
    </cfRule>
    <cfRule type="iconSet" priority="38">
      <iconSet iconSet="4TrafficLights">
        <cfvo type="percent" val="0"/>
        <cfvo type="percent" val="25"/>
        <cfvo type="percent" val="50"/>
        <cfvo type="percent" val="75"/>
      </iconSet>
    </cfRule>
    <cfRule type="dataBar" priority="39">
      <dataBar>
        <cfvo type="min"/>
        <cfvo type="max"/>
        <color rgb="FF638EC6"/>
      </dataBar>
    </cfRule>
  </conditionalFormatting>
  <conditionalFormatting sqref="A168">
    <cfRule type="dataBar" priority="35">
      <dataBar>
        <cfvo type="min"/>
        <cfvo type="max"/>
        <color theme="0"/>
      </dataBar>
    </cfRule>
    <cfRule type="dataBar" priority="36">
      <dataBar>
        <cfvo type="min"/>
        <cfvo type="max"/>
        <color theme="0"/>
      </dataBar>
    </cfRule>
  </conditionalFormatting>
  <conditionalFormatting sqref="A168">
    <cfRule type="dataBar" priority="32">
      <dataBar>
        <cfvo type="min"/>
        <cfvo type="max"/>
        <color rgb="FFFF555A"/>
      </dataBar>
    </cfRule>
    <cfRule type="iconSet" priority="33">
      <iconSet iconSet="4TrafficLights">
        <cfvo type="percent" val="0"/>
        <cfvo type="percent" val="25"/>
        <cfvo type="percent" val="50"/>
        <cfvo type="percent" val="75"/>
      </iconSet>
    </cfRule>
    <cfRule type="dataBar" priority="34">
      <dataBar>
        <cfvo type="min"/>
        <cfvo type="max"/>
        <color rgb="FF638EC6"/>
      </dataBar>
    </cfRule>
  </conditionalFormatting>
  <conditionalFormatting sqref="A170">
    <cfRule type="dataBar" priority="30">
      <dataBar>
        <cfvo type="min"/>
        <cfvo type="max"/>
        <color theme="0"/>
      </dataBar>
    </cfRule>
    <cfRule type="dataBar" priority="31">
      <dataBar>
        <cfvo type="min"/>
        <cfvo type="max"/>
        <color theme="0"/>
      </dataBar>
    </cfRule>
  </conditionalFormatting>
  <conditionalFormatting sqref="A170">
    <cfRule type="dataBar" priority="27">
      <dataBar>
        <cfvo type="min"/>
        <cfvo type="max"/>
        <color rgb="FFFF555A"/>
      </dataBar>
    </cfRule>
    <cfRule type="iconSet" priority="28">
      <iconSet iconSet="4TrafficLights">
        <cfvo type="percent" val="0"/>
        <cfvo type="percent" val="25"/>
        <cfvo type="percent" val="50"/>
        <cfvo type="percent" val="75"/>
      </iconSet>
    </cfRule>
    <cfRule type="dataBar" priority="29">
      <dataBar>
        <cfvo type="min"/>
        <cfvo type="max"/>
        <color rgb="FF638EC6"/>
      </dataBar>
    </cfRule>
  </conditionalFormatting>
  <conditionalFormatting sqref="A170">
    <cfRule type="dataBar" priority="25">
      <dataBar>
        <cfvo type="min"/>
        <cfvo type="max"/>
        <color theme="0"/>
      </dataBar>
    </cfRule>
    <cfRule type="dataBar" priority="26">
      <dataBar>
        <cfvo type="min"/>
        <cfvo type="max"/>
        <color theme="0"/>
      </dataBar>
    </cfRule>
  </conditionalFormatting>
  <conditionalFormatting sqref="A170">
    <cfRule type="dataBar" priority="22">
      <dataBar>
        <cfvo type="min"/>
        <cfvo type="max"/>
        <color rgb="FFFF555A"/>
      </dataBar>
    </cfRule>
    <cfRule type="iconSet" priority="23">
      <iconSet iconSet="4TrafficLights">
        <cfvo type="percent" val="0"/>
        <cfvo type="percent" val="25"/>
        <cfvo type="percent" val="50"/>
        <cfvo type="percent" val="75"/>
      </iconSet>
    </cfRule>
    <cfRule type="dataBar" priority="24">
      <dataBar>
        <cfvo type="min"/>
        <cfvo type="max"/>
        <color rgb="FF638EC6"/>
      </dataBar>
    </cfRule>
  </conditionalFormatting>
  <conditionalFormatting sqref="A157:A158">
    <cfRule type="dataBar" priority="20">
      <dataBar>
        <cfvo type="min"/>
        <cfvo type="max"/>
        <color theme="0"/>
      </dataBar>
    </cfRule>
    <cfRule type="dataBar" priority="21">
      <dataBar>
        <cfvo type="min"/>
        <cfvo type="max"/>
        <color theme="0"/>
      </dataBar>
    </cfRule>
  </conditionalFormatting>
  <conditionalFormatting sqref="A157:A158">
    <cfRule type="dataBar" priority="17">
      <dataBar>
        <cfvo type="min"/>
        <cfvo type="max"/>
        <color rgb="FFFF555A"/>
      </dataBar>
    </cfRule>
    <cfRule type="iconSet" priority="18">
      <iconSet iconSet="4TrafficLights">
        <cfvo type="percent" val="0"/>
        <cfvo type="percent" val="25"/>
        <cfvo type="percent" val="50"/>
        <cfvo type="percent" val="75"/>
      </iconSet>
    </cfRule>
    <cfRule type="dataBar" priority="19">
      <dataBar>
        <cfvo type="min"/>
        <cfvo type="max"/>
        <color rgb="FF638EC6"/>
      </dataBar>
    </cfRule>
  </conditionalFormatting>
  <conditionalFormatting sqref="A157:A158">
    <cfRule type="dataBar" priority="15">
      <dataBar>
        <cfvo type="min"/>
        <cfvo type="max"/>
        <color theme="0"/>
      </dataBar>
    </cfRule>
    <cfRule type="dataBar" priority="16">
      <dataBar>
        <cfvo type="min"/>
        <cfvo type="max"/>
        <color theme="0"/>
      </dataBar>
    </cfRule>
  </conditionalFormatting>
  <conditionalFormatting sqref="A157:A158">
    <cfRule type="dataBar" priority="12">
      <dataBar>
        <cfvo type="min"/>
        <cfvo type="max"/>
        <color rgb="FFFF555A"/>
      </dataBar>
    </cfRule>
    <cfRule type="iconSet" priority="13">
      <iconSet iconSet="4TrafficLights">
        <cfvo type="percent" val="0"/>
        <cfvo type="percent" val="25"/>
        <cfvo type="percent" val="50"/>
        <cfvo type="percent" val="75"/>
      </iconSet>
    </cfRule>
    <cfRule type="dataBar" priority="14">
      <dataBar>
        <cfvo type="min"/>
        <cfvo type="max"/>
        <color rgb="FF638EC6"/>
      </dataBar>
    </cfRule>
  </conditionalFormatting>
  <conditionalFormatting sqref="A94:A114">
    <cfRule type="dataBar" priority="10">
      <dataBar>
        <cfvo type="min"/>
        <cfvo type="max"/>
        <color theme="0"/>
      </dataBar>
    </cfRule>
    <cfRule type="dataBar" priority="11">
      <dataBar>
        <cfvo type="min"/>
        <cfvo type="max"/>
        <color theme="0"/>
      </dataBar>
    </cfRule>
  </conditionalFormatting>
  <conditionalFormatting sqref="A90:A115">
    <cfRule type="dataBar" priority="8">
      <dataBar>
        <cfvo type="min"/>
        <cfvo type="max"/>
        <color theme="0"/>
      </dataBar>
    </cfRule>
    <cfRule type="dataBar" priority="9">
      <dataBar>
        <cfvo type="min"/>
        <cfvo type="max"/>
        <color theme="0"/>
      </dataBar>
    </cfRule>
  </conditionalFormatting>
  <conditionalFormatting sqref="A93:A115">
    <cfRule type="dataBar" priority="6">
      <dataBar>
        <cfvo type="min"/>
        <cfvo type="max"/>
        <color theme="0"/>
      </dataBar>
    </cfRule>
    <cfRule type="dataBar" priority="7">
      <dataBar>
        <cfvo type="min"/>
        <cfvo type="max"/>
        <color theme="0"/>
      </dataBar>
    </cfRule>
  </conditionalFormatting>
  <conditionalFormatting sqref="A9:A125">
    <cfRule type="dataBar" priority="4">
      <dataBar>
        <cfvo type="min"/>
        <cfvo type="max"/>
        <color theme="0"/>
      </dataBar>
    </cfRule>
    <cfRule type="dataBar" priority="5">
      <dataBar>
        <cfvo type="min"/>
        <cfvo type="max"/>
        <color theme="0"/>
      </dataBar>
    </cfRule>
  </conditionalFormatting>
  <conditionalFormatting sqref="A9:A125">
    <cfRule type="dataBar" priority="1">
      <dataBar>
        <cfvo type="min"/>
        <cfvo type="max"/>
        <color rgb="FFFF555A"/>
      </dataBar>
    </cfRule>
    <cfRule type="iconSet" priority="2">
      <iconSet iconSet="4TrafficLights">
        <cfvo type="percent" val="0"/>
        <cfvo type="percent" val="25"/>
        <cfvo type="percent" val="50"/>
        <cfvo type="percent" val="75"/>
      </iconSet>
    </cfRule>
    <cfRule type="dataBar" priority="3">
      <dataBar>
        <cfvo type="min"/>
        <cfvo type="max"/>
        <color rgb="FF638EC6"/>
      </dataBar>
    </cfRule>
  </conditionalFormatting>
  <pageMargins left="0" right="0" top="0" bottom="0" header="0.31496062992125984" footer="0.31496062992125984"/>
  <pageSetup paperSize="9" scale="75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T15"/>
  <sheetViews>
    <sheetView zoomScale="91" zoomScaleNormal="91" workbookViewId="0">
      <selection activeCell="E19" sqref="E19"/>
    </sheetView>
  </sheetViews>
  <sheetFormatPr defaultRowHeight="15" x14ac:dyDescent="0.25"/>
  <cols>
    <col min="1" max="1" width="25.7109375" bestFit="1" customWidth="1"/>
    <col min="2" max="2" width="1.42578125" customWidth="1"/>
    <col min="3" max="3" width="13.7109375" bestFit="1" customWidth="1"/>
    <col min="4" max="4" width="0.7109375" style="31" customWidth="1"/>
    <col min="5" max="5" width="13.7109375" customWidth="1"/>
    <col min="6" max="6" width="0.85546875" style="31" customWidth="1"/>
    <col min="7" max="7" width="15.5703125" customWidth="1"/>
    <col min="8" max="8" width="0.85546875" style="31" customWidth="1"/>
    <col min="9" max="9" width="15.85546875" customWidth="1"/>
    <col min="10" max="10" width="0.85546875" style="31" customWidth="1"/>
    <col min="11" max="11" width="16.85546875" customWidth="1"/>
    <col min="12" max="12" width="1" style="31" customWidth="1"/>
    <col min="13" max="13" width="16.5703125" customWidth="1"/>
    <col min="14" max="14" width="0.85546875" style="31" customWidth="1"/>
    <col min="15" max="15" width="19.28515625" customWidth="1"/>
    <col min="16" max="16" width="0.7109375" style="31" customWidth="1"/>
  </cols>
  <sheetData>
    <row r="1" spans="1:20" ht="31.5" customHeight="1" x14ac:dyDescent="0.5">
      <c r="A1" s="305" t="s">
        <v>136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64"/>
      <c r="Q1" s="64"/>
      <c r="R1" s="64"/>
      <c r="S1" s="64"/>
      <c r="T1" s="64"/>
    </row>
    <row r="2" spans="1:20" ht="23.25" x14ac:dyDescent="0.35">
      <c r="A2" s="306" t="s">
        <v>137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65"/>
      <c r="Q2" s="65"/>
      <c r="R2" s="65"/>
      <c r="S2" s="65"/>
      <c r="T2" s="65"/>
    </row>
    <row r="4" spans="1:20" s="4" customFormat="1" x14ac:dyDescent="0.25">
      <c r="C4" s="59" t="s">
        <v>106</v>
      </c>
      <c r="D4" s="32"/>
      <c r="E4" s="59" t="s">
        <v>120</v>
      </c>
      <c r="F4" s="32"/>
      <c r="G4" s="59" t="s">
        <v>108</v>
      </c>
      <c r="H4" s="32"/>
      <c r="I4" s="59" t="s">
        <v>109</v>
      </c>
      <c r="J4" s="32"/>
      <c r="K4" s="59" t="s">
        <v>110</v>
      </c>
      <c r="L4" s="32"/>
      <c r="M4" s="59" t="s">
        <v>138</v>
      </c>
      <c r="N4" s="32"/>
      <c r="O4" s="59" t="s">
        <v>32</v>
      </c>
      <c r="P4" s="32"/>
    </row>
    <row r="5" spans="1:20" s="3" customFormat="1" x14ac:dyDescent="0.25">
      <c r="C5" s="3">
        <v>2015</v>
      </c>
      <c r="D5" s="33"/>
      <c r="E5" s="3">
        <v>2015</v>
      </c>
      <c r="F5" s="33"/>
      <c r="G5" s="3">
        <v>2015</v>
      </c>
      <c r="H5" s="33"/>
      <c r="I5" s="3">
        <v>2015</v>
      </c>
      <c r="J5" s="33"/>
      <c r="K5" s="3">
        <v>2015</v>
      </c>
      <c r="L5" s="33"/>
      <c r="M5" s="3">
        <v>2015</v>
      </c>
      <c r="N5" s="33"/>
      <c r="P5" s="33"/>
    </row>
    <row r="6" spans="1:20" s="8" customFormat="1" ht="12.75" customHeight="1" x14ac:dyDescent="0.25">
      <c r="A6" s="37" t="s">
        <v>59</v>
      </c>
      <c r="C6" s="56"/>
      <c r="D6" s="35"/>
      <c r="E6" s="56"/>
      <c r="F6" s="35"/>
      <c r="G6" s="56"/>
      <c r="H6" s="35"/>
      <c r="I6" s="56"/>
      <c r="J6" s="35"/>
      <c r="K6" s="56"/>
      <c r="L6" s="35"/>
      <c r="M6" s="56"/>
      <c r="N6" s="35"/>
      <c r="O6" s="56"/>
      <c r="P6" s="35"/>
    </row>
    <row r="7" spans="1:20" x14ac:dyDescent="0.25">
      <c r="A7" s="63" t="s">
        <v>135</v>
      </c>
      <c r="B7" s="57"/>
      <c r="C7" s="60">
        <f>7428.99</f>
        <v>7428.99</v>
      </c>
      <c r="D7" s="61"/>
      <c r="E7" s="1">
        <f>7766.99+7600.76</f>
        <v>15367.75</v>
      </c>
      <c r="F7" s="61"/>
      <c r="G7" s="60">
        <v>0</v>
      </c>
      <c r="H7" s="61"/>
      <c r="I7" s="60"/>
      <c r="J7" s="61"/>
      <c r="K7" s="60">
        <f>6051.96</f>
        <v>6051.96</v>
      </c>
      <c r="L7" s="61"/>
      <c r="M7" s="60">
        <v>0</v>
      </c>
      <c r="N7" s="61"/>
      <c r="O7" s="60">
        <f>SUM(C7+E7+G7+I7+K7+M7)</f>
        <v>28848.699999999997</v>
      </c>
      <c r="P7" s="61"/>
      <c r="Q7" s="62"/>
    </row>
    <row r="8" spans="1:20" x14ac:dyDescent="0.25">
      <c r="A8" s="63" t="s">
        <v>134</v>
      </c>
      <c r="B8" s="57"/>
      <c r="C8" s="60">
        <v>0</v>
      </c>
      <c r="D8" s="61"/>
      <c r="E8" s="60">
        <f>5901.09+8616.91</f>
        <v>14518</v>
      </c>
      <c r="F8" s="61"/>
      <c r="G8" s="60">
        <v>0</v>
      </c>
      <c r="H8" s="61"/>
      <c r="I8" s="60">
        <f>8793.35+6116.57+5851.22</f>
        <v>20761.14</v>
      </c>
      <c r="J8" s="61"/>
      <c r="K8" s="60">
        <f>6177.85</f>
        <v>6177.85</v>
      </c>
      <c r="L8" s="61"/>
      <c r="M8" s="60">
        <v>0</v>
      </c>
      <c r="N8" s="61"/>
      <c r="O8" s="60">
        <f t="shared" ref="O8:O13" si="0">SUM(C8+E8+G8+I8+K8+M8)</f>
        <v>41456.99</v>
      </c>
      <c r="P8" s="61"/>
      <c r="Q8" s="62"/>
    </row>
    <row r="9" spans="1:20" x14ac:dyDescent="0.25">
      <c r="A9" s="63" t="s">
        <v>130</v>
      </c>
      <c r="B9" s="57"/>
      <c r="C9" s="60">
        <v>0</v>
      </c>
      <c r="D9" s="61"/>
      <c r="E9" s="60">
        <f>5678.94+5702.34</f>
        <v>11381.279999999999</v>
      </c>
      <c r="F9" s="61"/>
      <c r="G9" s="60">
        <v>0</v>
      </c>
      <c r="H9" s="61"/>
      <c r="I9" s="60">
        <f>927.87+5059.06+6011.62</f>
        <v>11998.55</v>
      </c>
      <c r="J9" s="61"/>
      <c r="K9" s="60">
        <f>10697.88</f>
        <v>10697.88</v>
      </c>
      <c r="L9" s="61"/>
      <c r="M9" s="60">
        <v>0</v>
      </c>
      <c r="N9" s="61"/>
      <c r="O9" s="60">
        <f t="shared" si="0"/>
        <v>34077.71</v>
      </c>
      <c r="P9" s="61"/>
      <c r="Q9" s="62"/>
    </row>
    <row r="10" spans="1:20" x14ac:dyDescent="0.25">
      <c r="A10" s="63" t="s">
        <v>131</v>
      </c>
      <c r="B10" s="57"/>
      <c r="C10" s="60">
        <v>0</v>
      </c>
      <c r="D10" s="61"/>
      <c r="E10" s="60">
        <f>575.39+535.85</f>
        <v>1111.24</v>
      </c>
      <c r="F10" s="61"/>
      <c r="G10" s="60">
        <v>0</v>
      </c>
      <c r="H10" s="61"/>
      <c r="I10" s="60">
        <f>680.59+693.24+305.92+161.8</f>
        <v>1841.55</v>
      </c>
      <c r="J10" s="61"/>
      <c r="K10" s="60">
        <f>731.81</f>
        <v>731.81</v>
      </c>
      <c r="L10" s="61"/>
      <c r="M10" s="60">
        <v>0</v>
      </c>
      <c r="N10" s="61"/>
      <c r="O10" s="60">
        <f t="shared" si="0"/>
        <v>3684.6</v>
      </c>
      <c r="P10" s="61"/>
      <c r="Q10" s="62"/>
    </row>
    <row r="11" spans="1:20" x14ac:dyDescent="0.25">
      <c r="A11" s="63" t="s">
        <v>132</v>
      </c>
      <c r="B11" s="57"/>
      <c r="C11" s="60">
        <v>0</v>
      </c>
      <c r="D11" s="61"/>
      <c r="E11" s="60">
        <f>1084.35+1089.08</f>
        <v>2173.4299999999998</v>
      </c>
      <c r="F11" s="61"/>
      <c r="G11" s="60">
        <v>0</v>
      </c>
      <c r="H11" s="61"/>
      <c r="I11" s="60">
        <f>1053.44+1175.03+2770.74+1497.1</f>
        <v>6496.3099999999995</v>
      </c>
      <c r="J11" s="61"/>
      <c r="K11" s="60">
        <f>1316.74</f>
        <v>1316.74</v>
      </c>
      <c r="L11" s="61"/>
      <c r="M11" s="60">
        <v>0</v>
      </c>
      <c r="N11" s="61"/>
      <c r="O11" s="60">
        <f t="shared" si="0"/>
        <v>9986.48</v>
      </c>
      <c r="P11" s="61"/>
      <c r="Q11" s="62"/>
    </row>
    <row r="12" spans="1:20" x14ac:dyDescent="0.25">
      <c r="A12" s="63" t="s">
        <v>133</v>
      </c>
      <c r="B12" s="57"/>
      <c r="C12" s="60">
        <v>0</v>
      </c>
      <c r="D12" s="61"/>
      <c r="E12" s="60">
        <f>834.19+891.21</f>
        <v>1725.4</v>
      </c>
      <c r="F12" s="61"/>
      <c r="G12" s="60">
        <v>0</v>
      </c>
      <c r="H12" s="61"/>
      <c r="I12" s="60">
        <f>1579.51+812.18+854.57+824.01</f>
        <v>4070.2700000000004</v>
      </c>
      <c r="J12" s="61"/>
      <c r="K12" s="60">
        <f>893.49</f>
        <v>893.49</v>
      </c>
      <c r="L12" s="61"/>
      <c r="M12" s="60">
        <v>0</v>
      </c>
      <c r="N12" s="61"/>
      <c r="O12" s="60">
        <f t="shared" si="0"/>
        <v>6689.16</v>
      </c>
      <c r="P12" s="61"/>
      <c r="Q12" s="62"/>
    </row>
    <row r="13" spans="1:20" x14ac:dyDescent="0.25">
      <c r="A13" s="38"/>
      <c r="B13" s="57"/>
      <c r="C13" s="60">
        <v>0</v>
      </c>
      <c r="D13" s="61"/>
      <c r="E13" s="60">
        <v>0</v>
      </c>
      <c r="F13" s="61"/>
      <c r="G13" s="60">
        <v>0</v>
      </c>
      <c r="H13" s="61"/>
      <c r="I13" s="60">
        <v>0</v>
      </c>
      <c r="J13" s="61"/>
      <c r="K13" s="60">
        <v>0</v>
      </c>
      <c r="L13" s="61"/>
      <c r="M13" s="60">
        <v>0</v>
      </c>
      <c r="N13" s="61"/>
      <c r="O13" s="60">
        <f t="shared" si="0"/>
        <v>0</v>
      </c>
      <c r="P13" s="61"/>
      <c r="Q13" s="62"/>
    </row>
    <row r="14" spans="1:20" ht="6.75" customHeight="1" x14ac:dyDescent="0.25">
      <c r="B14" s="4"/>
      <c r="C14" s="58"/>
      <c r="E14" s="58"/>
      <c r="G14" s="58"/>
      <c r="I14" s="58"/>
      <c r="K14" s="58"/>
      <c r="M14" s="58"/>
      <c r="O14" s="58"/>
    </row>
    <row r="15" spans="1:20" s="4" customFormat="1" ht="15.75" x14ac:dyDescent="0.25">
      <c r="A15" s="66" t="s">
        <v>32</v>
      </c>
      <c r="B15" s="3"/>
      <c r="C15" s="14">
        <f>SUM(C7:C13)</f>
        <v>7428.99</v>
      </c>
      <c r="D15" s="32"/>
      <c r="E15" s="14">
        <f>SUM(E7:E13)</f>
        <v>46277.1</v>
      </c>
      <c r="F15" s="32"/>
      <c r="G15" s="14">
        <f>SUM(G7:G13)</f>
        <v>0</v>
      </c>
      <c r="H15" s="32"/>
      <c r="I15" s="14">
        <f>SUM(I7:I13)</f>
        <v>45167.819999999992</v>
      </c>
      <c r="J15" s="32"/>
      <c r="K15" s="14">
        <f>SUM(K7:K13)</f>
        <v>25869.730000000007</v>
      </c>
      <c r="L15" s="32"/>
      <c r="M15" s="14">
        <f>SUM(M7:M13)</f>
        <v>0</v>
      </c>
      <c r="N15" s="32"/>
      <c r="O15" s="14">
        <f>SUM(O7:O14)</f>
        <v>124743.64</v>
      </c>
      <c r="P15" s="32"/>
    </row>
  </sheetData>
  <mergeCells count="2">
    <mergeCell ref="A1:O1"/>
    <mergeCell ref="A2:O2"/>
  </mergeCells>
  <pageMargins left="0" right="0" top="0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4</vt:i4>
      </vt:variant>
    </vt:vector>
  </HeadingPairs>
  <TitlesOfParts>
    <vt:vector size="33" baseType="lpstr">
      <vt:lpstr>Planilha Despesas</vt:lpstr>
      <vt:lpstr>Planilha (3)</vt:lpstr>
      <vt:lpstr>Planilha Despesas (2)</vt:lpstr>
      <vt:lpstr>Planilha (4)</vt:lpstr>
      <vt:lpstr>Planilha (2)</vt:lpstr>
      <vt:lpstr>Planilha Abr,Mai,Jun </vt:lpstr>
      <vt:lpstr>Planilha</vt:lpstr>
      <vt:lpstr>Planilha Despesas (3)</vt:lpstr>
      <vt:lpstr>GPS,DARF, FGTS </vt:lpstr>
      <vt:lpstr>Pac. GPS </vt:lpstr>
      <vt:lpstr>Desp (2)</vt:lpstr>
      <vt:lpstr>Despesas  Fixas</vt:lpstr>
      <vt:lpstr>Parc. Caixa E Federal</vt:lpstr>
      <vt:lpstr>Pac. GPS</vt:lpstr>
      <vt:lpstr>PMI -2015</vt:lpstr>
      <vt:lpstr>PMI -2015 Plano de Trabalho</vt:lpstr>
      <vt:lpstr>PMI -2015 Plano de Trabalho (2)</vt:lpstr>
      <vt:lpstr>PMI -2015 - Atual </vt:lpstr>
      <vt:lpstr>SIM - SAUDE</vt:lpstr>
      <vt:lpstr>Cassems</vt:lpstr>
      <vt:lpstr>Cozinha</vt:lpstr>
      <vt:lpstr>Plan3</vt:lpstr>
      <vt:lpstr>2019</vt:lpstr>
      <vt:lpstr>2020 </vt:lpstr>
      <vt:lpstr>2021</vt:lpstr>
      <vt:lpstr>Folha1</vt:lpstr>
      <vt:lpstr>Folha - 19</vt:lpstr>
      <vt:lpstr>Folha - 20 </vt:lpstr>
      <vt:lpstr>Folha - 21</vt:lpstr>
      <vt:lpstr>'2019'!Area_de_impressao</vt:lpstr>
      <vt:lpstr>'Folha - 19'!Area_de_impressao</vt:lpstr>
      <vt:lpstr>'Folha - 20 '!Area_de_impressao</vt:lpstr>
      <vt:lpstr>'Folha - 21'!Area_de_impressao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Administrador</cp:lastModifiedBy>
  <cp:lastPrinted>2021-04-28T17:21:43Z</cp:lastPrinted>
  <dcterms:created xsi:type="dcterms:W3CDTF">2015-05-19T21:29:58Z</dcterms:created>
  <dcterms:modified xsi:type="dcterms:W3CDTF">2022-01-25T18:04:27Z</dcterms:modified>
</cp:coreProperties>
</file>